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7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8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9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ekretariat\dane_RCIN\K_Sadowska\"/>
    </mc:Choice>
  </mc:AlternateContent>
  <xr:revisionPtr revIDLastSave="0" documentId="8_{60F2D8B6-BF68-4B2C-B82B-07F03B50BAE0}" xr6:coauthVersionLast="36" xr6:coauthVersionMax="36" xr10:uidLastSave="{00000000-0000-0000-0000-000000000000}"/>
  <bookViews>
    <workbookView xWindow="0" yWindow="0" windowWidth="23040" windowHeight="8775" tabRatio="776" xr2:uid="{315FEF2C-91D0-43E1-B2EE-DAE62D034D56}"/>
  </bookViews>
  <sheets>
    <sheet name="dobór pH" sheetId="1" r:id="rId1"/>
    <sheet name="czujnik" sheetId="4" r:id="rId2"/>
    <sheet name="temepratura" sheetId="7" r:id="rId3"/>
    <sheet name="Asweat sample" sheetId="6" r:id="rId4"/>
    <sheet name="stężenie TH i genipin" sheetId="2" r:id="rId5"/>
    <sheet name="Ag, Au, Graphite" sheetId="3" r:id="rId6"/>
    <sheet name="stabilność 7 dni" sheetId="5" r:id="rId7"/>
    <sheet name="krzywa kalibracyjna" sheetId="9" r:id="rId8"/>
    <sheet name="Km app" sheetId="10" r:id="rId9"/>
    <sheet name="Artificial sweat" sheetId="11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1" l="1"/>
  <c r="H6" i="11" s="1"/>
  <c r="J6" i="11"/>
  <c r="K6" i="11"/>
  <c r="L6" i="11"/>
  <c r="M6" i="11"/>
  <c r="N6" i="11"/>
  <c r="O6" i="11"/>
  <c r="P6" i="11"/>
  <c r="Q6" i="11"/>
  <c r="H7" i="11"/>
  <c r="I7" i="11"/>
  <c r="J7" i="11"/>
  <c r="K7" i="11"/>
  <c r="L7" i="11"/>
  <c r="M7" i="11"/>
  <c r="P7" i="11"/>
  <c r="Q7" i="11"/>
  <c r="H8" i="11"/>
  <c r="I8" i="11"/>
  <c r="J8" i="11"/>
  <c r="K8" i="11"/>
  <c r="L8" i="11"/>
  <c r="M8" i="11"/>
  <c r="N8" i="11"/>
  <c r="O8" i="11"/>
  <c r="P8" i="11"/>
  <c r="Q8" i="11"/>
  <c r="H9" i="11"/>
  <c r="I9" i="11"/>
  <c r="J9" i="11"/>
  <c r="K9" i="11"/>
  <c r="L9" i="11"/>
  <c r="H10" i="11"/>
  <c r="I10" i="11"/>
  <c r="J10" i="11"/>
  <c r="K10" i="11"/>
  <c r="L10" i="11"/>
  <c r="C17" i="11"/>
  <c r="F17" i="11" s="1"/>
  <c r="D17" i="11"/>
  <c r="J17" i="11" s="1"/>
  <c r="J20" i="11" s="1"/>
  <c r="J21" i="11" s="1"/>
  <c r="E17" i="11"/>
  <c r="K17" i="11" s="1"/>
  <c r="H17" i="11"/>
  <c r="H20" i="11" s="1"/>
  <c r="H21" i="11" s="1"/>
  <c r="D18" i="11"/>
  <c r="E18" i="11"/>
  <c r="F18" i="11"/>
  <c r="G18" i="11"/>
  <c r="H18" i="11"/>
  <c r="I18" i="11"/>
  <c r="J18" i="11"/>
  <c r="K18" i="11"/>
  <c r="L18" i="11"/>
  <c r="U20" i="11"/>
  <c r="U21" i="11" s="1"/>
  <c r="W20" i="11"/>
  <c r="O30" i="11"/>
  <c r="X4" i="10"/>
  <c r="Y4" i="10"/>
  <c r="B5" i="10"/>
  <c r="C5" i="10"/>
  <c r="D5" i="10"/>
  <c r="E5" i="10"/>
  <c r="F5" i="10"/>
  <c r="G5" i="10"/>
  <c r="H5" i="10"/>
  <c r="I5" i="10"/>
  <c r="J5" i="10"/>
  <c r="V5" i="10"/>
  <c r="V6" i="10" s="1"/>
  <c r="W5" i="10"/>
  <c r="W6" i="10" s="1"/>
  <c r="X5" i="10"/>
  <c r="X6" i="10" s="1"/>
  <c r="Y5" i="10"/>
  <c r="Y6" i="10" s="1"/>
  <c r="Z5" i="10"/>
  <c r="Z6" i="10" s="1"/>
  <c r="B6" i="10"/>
  <c r="D6" i="10"/>
  <c r="F6" i="10"/>
  <c r="G6" i="10"/>
  <c r="H6" i="10" s="1"/>
  <c r="J6" i="10"/>
  <c r="B7" i="10"/>
  <c r="D7" i="10"/>
  <c r="F7" i="10"/>
  <c r="G7" i="10"/>
  <c r="H7" i="10"/>
  <c r="J7" i="10"/>
  <c r="B8" i="10"/>
  <c r="D8" i="10"/>
  <c r="F8" i="10"/>
  <c r="G8" i="10"/>
  <c r="H8" i="10"/>
  <c r="I8" i="10"/>
  <c r="J8" i="10"/>
  <c r="B9" i="10"/>
  <c r="D9" i="10"/>
  <c r="F9" i="10"/>
  <c r="G9" i="10"/>
  <c r="H9" i="10"/>
  <c r="J9" i="10"/>
  <c r="B10" i="10"/>
  <c r="D10" i="10"/>
  <c r="F10" i="10"/>
  <c r="G10" i="10"/>
  <c r="H10" i="10"/>
  <c r="J10" i="10"/>
  <c r="B11" i="10"/>
  <c r="D11" i="10"/>
  <c r="F11" i="10"/>
  <c r="G11" i="10"/>
  <c r="H11" i="10"/>
  <c r="J11" i="10"/>
  <c r="T11" i="10"/>
  <c r="U11" i="10"/>
  <c r="V11" i="10"/>
  <c r="W11" i="10"/>
  <c r="B12" i="10"/>
  <c r="D12" i="10"/>
  <c r="F12" i="10"/>
  <c r="G12" i="10"/>
  <c r="H12" i="10"/>
  <c r="J12" i="10"/>
  <c r="T12" i="10"/>
  <c r="U15" i="10" s="1"/>
  <c r="U12" i="10"/>
  <c r="V12" i="10"/>
  <c r="W12" i="10"/>
  <c r="B13" i="10"/>
  <c r="D13" i="10"/>
  <c r="E13" i="10"/>
  <c r="F13" i="10"/>
  <c r="G13" i="10"/>
  <c r="H13" i="10"/>
  <c r="J13" i="10"/>
  <c r="X13" i="10"/>
  <c r="B14" i="10"/>
  <c r="D14" i="10"/>
  <c r="G14" i="10"/>
  <c r="H14" i="10"/>
  <c r="J14" i="10"/>
  <c r="X14" i="10"/>
  <c r="B25" i="10"/>
  <c r="C25" i="10"/>
  <c r="D25" i="10"/>
  <c r="E25" i="10"/>
  <c r="F25" i="10"/>
  <c r="G25" i="10"/>
  <c r="H25" i="10"/>
  <c r="I25" i="10"/>
  <c r="J25" i="10"/>
  <c r="B26" i="10"/>
  <c r="C26" i="10"/>
  <c r="D26" i="10"/>
  <c r="F26" i="10"/>
  <c r="H26" i="10"/>
  <c r="I26" i="10"/>
  <c r="J26" i="10"/>
  <c r="B27" i="10"/>
  <c r="C27" i="10"/>
  <c r="D27" i="10"/>
  <c r="F27" i="10"/>
  <c r="H27" i="10"/>
  <c r="I27" i="10"/>
  <c r="J27" i="10"/>
  <c r="U27" i="10"/>
  <c r="V27" i="10"/>
  <c r="W27" i="10"/>
  <c r="X27" i="10"/>
  <c r="B28" i="10"/>
  <c r="C28" i="10"/>
  <c r="D28" i="10"/>
  <c r="F28" i="10"/>
  <c r="G28" i="10"/>
  <c r="H28" i="10"/>
  <c r="I28" i="10"/>
  <c r="J28" i="10"/>
  <c r="U28" i="10"/>
  <c r="V28" i="10"/>
  <c r="W28" i="10"/>
  <c r="X28" i="10"/>
  <c r="Y28" i="10"/>
  <c r="Z28" i="10"/>
  <c r="B29" i="10"/>
  <c r="D29" i="10"/>
  <c r="E29" i="10"/>
  <c r="F29" i="10"/>
  <c r="G29" i="10"/>
  <c r="H29" i="10"/>
  <c r="I29" i="10"/>
  <c r="J29" i="10"/>
  <c r="B30" i="10"/>
  <c r="D30" i="10"/>
  <c r="F30" i="10"/>
  <c r="G30" i="10"/>
  <c r="H30" i="10"/>
  <c r="I30" i="10"/>
  <c r="J30" i="10"/>
  <c r="B31" i="10"/>
  <c r="D31" i="10"/>
  <c r="E31" i="10"/>
  <c r="F31" i="10"/>
  <c r="G31" i="10"/>
  <c r="H31" i="10"/>
  <c r="I31" i="10"/>
  <c r="J31" i="10" s="1"/>
  <c r="B32" i="10"/>
  <c r="C32" i="10"/>
  <c r="D32" i="10"/>
  <c r="F32" i="10"/>
  <c r="G32" i="10"/>
  <c r="H32" i="10"/>
  <c r="I32" i="10"/>
  <c r="J32" i="10"/>
  <c r="B33" i="10"/>
  <c r="D33" i="10"/>
  <c r="F33" i="10"/>
  <c r="G33" i="10"/>
  <c r="H33" i="10"/>
  <c r="I33" i="10"/>
  <c r="J33" i="10"/>
  <c r="G33" i="9" s="1"/>
  <c r="S3" i="9"/>
  <c r="T3" i="9"/>
  <c r="U3" i="9"/>
  <c r="V3" i="9"/>
  <c r="W3" i="9"/>
  <c r="X3" i="9"/>
  <c r="Y3" i="9"/>
  <c r="Z3" i="9"/>
  <c r="AA3" i="9"/>
  <c r="AB3" i="9"/>
  <c r="B5" i="9"/>
  <c r="G5" i="9" s="1"/>
  <c r="C5" i="9"/>
  <c r="D5" i="9"/>
  <c r="H5" i="9"/>
  <c r="I5" i="9"/>
  <c r="S5" i="9"/>
  <c r="T5" i="9"/>
  <c r="U5" i="9"/>
  <c r="V5" i="9"/>
  <c r="W5" i="9"/>
  <c r="X5" i="9"/>
  <c r="Y5" i="9"/>
  <c r="Z5" i="9"/>
  <c r="AA5" i="9"/>
  <c r="AB5" i="9"/>
  <c r="E6" i="9"/>
  <c r="J6" i="9" s="1"/>
  <c r="G6" i="9"/>
  <c r="H6" i="9"/>
  <c r="I6" i="9"/>
  <c r="T6" i="9"/>
  <c r="U6" i="9"/>
  <c r="V6" i="9"/>
  <c r="W6" i="9"/>
  <c r="X6" i="9"/>
  <c r="Y6" i="9"/>
  <c r="AA6" i="9"/>
  <c r="AB6" i="9"/>
  <c r="AP6" i="9"/>
  <c r="E7" i="9"/>
  <c r="J7" i="9" s="1"/>
  <c r="H7" i="9"/>
  <c r="I7" i="9"/>
  <c r="S7" i="9"/>
  <c r="T7" i="9"/>
  <c r="U7" i="9"/>
  <c r="V7" i="9"/>
  <c r="W7" i="9"/>
  <c r="X7" i="9"/>
  <c r="Y7" i="9"/>
  <c r="Z7" i="9"/>
  <c r="AA7" i="9"/>
  <c r="AB7" i="9"/>
  <c r="E8" i="9"/>
  <c r="H8" i="9"/>
  <c r="I8" i="9"/>
  <c r="J8" i="9"/>
  <c r="L8" i="9"/>
  <c r="M8" i="9"/>
  <c r="S8" i="9"/>
  <c r="T8" i="9"/>
  <c r="U8" i="9"/>
  <c r="V8" i="9"/>
  <c r="W8" i="9"/>
  <c r="X8" i="9"/>
  <c r="Y8" i="9"/>
  <c r="Z8" i="9"/>
  <c r="AA8" i="9"/>
  <c r="AB8" i="9"/>
  <c r="AP8" i="9"/>
  <c r="E9" i="9"/>
  <c r="J9" i="9" s="1"/>
  <c r="G9" i="9"/>
  <c r="H9" i="9"/>
  <c r="I9" i="9"/>
  <c r="L9" i="9"/>
  <c r="M9" i="9"/>
  <c r="S9" i="9"/>
  <c r="T9" i="9"/>
  <c r="U9" i="9"/>
  <c r="V9" i="9"/>
  <c r="W9" i="9"/>
  <c r="X9" i="9"/>
  <c r="Y9" i="9"/>
  <c r="Z9" i="9"/>
  <c r="AA9" i="9"/>
  <c r="AB9" i="9"/>
  <c r="E10" i="9"/>
  <c r="J10" i="9" s="1"/>
  <c r="G10" i="9"/>
  <c r="H10" i="9"/>
  <c r="I10" i="9"/>
  <c r="L10" i="9"/>
  <c r="M10" i="9"/>
  <c r="S10" i="9"/>
  <c r="T10" i="9"/>
  <c r="U10" i="9"/>
  <c r="V10" i="9"/>
  <c r="W10" i="9"/>
  <c r="X10" i="9"/>
  <c r="Y10" i="9"/>
  <c r="Z10" i="9"/>
  <c r="AA10" i="9"/>
  <c r="AB10" i="9"/>
  <c r="E11" i="9"/>
  <c r="J11" i="9" s="1"/>
  <c r="G11" i="9"/>
  <c r="H11" i="9"/>
  <c r="I11" i="9"/>
  <c r="S11" i="9"/>
  <c r="T11" i="9"/>
  <c r="U11" i="9"/>
  <c r="V11" i="9"/>
  <c r="W11" i="9"/>
  <c r="X11" i="9"/>
  <c r="Y11" i="9"/>
  <c r="Z11" i="9"/>
  <c r="AA11" i="9"/>
  <c r="AB11" i="9"/>
  <c r="E12" i="9"/>
  <c r="J12" i="9" s="1"/>
  <c r="I12" i="9"/>
  <c r="K12" i="9"/>
  <c r="S12" i="9"/>
  <c r="T12" i="9"/>
  <c r="U12" i="9"/>
  <c r="V12" i="9"/>
  <c r="W12" i="9"/>
  <c r="X12" i="9"/>
  <c r="Y12" i="9"/>
  <c r="Z12" i="9"/>
  <c r="AA12" i="9"/>
  <c r="AB12" i="9"/>
  <c r="E13" i="9"/>
  <c r="J13" i="9" s="1"/>
  <c r="G13" i="9"/>
  <c r="H13" i="9"/>
  <c r="I13" i="9"/>
  <c r="S13" i="9"/>
  <c r="T13" i="9"/>
  <c r="U13" i="9"/>
  <c r="V13" i="9"/>
  <c r="W13" i="9"/>
  <c r="X13" i="9"/>
  <c r="Y13" i="9"/>
  <c r="Z13" i="9"/>
  <c r="AA13" i="9"/>
  <c r="AB13" i="9"/>
  <c r="E14" i="9"/>
  <c r="J14" i="9"/>
  <c r="K14" i="9"/>
  <c r="T14" i="9"/>
  <c r="U14" i="9"/>
  <c r="V14" i="9"/>
  <c r="W14" i="9"/>
  <c r="X14" i="9"/>
  <c r="Y14" i="9"/>
  <c r="Z14" i="9"/>
  <c r="AA14" i="9"/>
  <c r="AB14" i="9"/>
  <c r="B23" i="9"/>
  <c r="G23" i="9" s="1"/>
  <c r="C23" i="9"/>
  <c r="H23" i="9" s="1"/>
  <c r="D23" i="9"/>
  <c r="I23" i="9" s="1"/>
  <c r="E23" i="9"/>
  <c r="J23" i="9" s="1"/>
  <c r="K23" i="9"/>
  <c r="S23" i="9"/>
  <c r="T23" i="9"/>
  <c r="U23" i="9"/>
  <c r="V23" i="9"/>
  <c r="W23" i="9"/>
  <c r="X23" i="9"/>
  <c r="Y23" i="9"/>
  <c r="Z23" i="9"/>
  <c r="AA23" i="9"/>
  <c r="B24" i="9"/>
  <c r="G24" i="9" s="1"/>
  <c r="E24" i="9"/>
  <c r="J24" i="9" s="1"/>
  <c r="K24" i="9"/>
  <c r="M24" i="9"/>
  <c r="S24" i="9"/>
  <c r="T24" i="9"/>
  <c r="U24" i="9"/>
  <c r="V24" i="9"/>
  <c r="W24" i="9"/>
  <c r="X24" i="9"/>
  <c r="Y24" i="9"/>
  <c r="B25" i="9"/>
  <c r="G25" i="9" s="1"/>
  <c r="E25" i="9"/>
  <c r="J25" i="9" s="1"/>
  <c r="K25" i="9"/>
  <c r="L25" i="9"/>
  <c r="M25" i="9"/>
  <c r="S25" i="9"/>
  <c r="T25" i="9"/>
  <c r="U25" i="9"/>
  <c r="V25" i="9"/>
  <c r="W25" i="9"/>
  <c r="X25" i="9"/>
  <c r="Y25" i="9"/>
  <c r="Z25" i="9"/>
  <c r="AA25" i="9"/>
  <c r="B26" i="9"/>
  <c r="G26" i="9" s="1"/>
  <c r="D26" i="9"/>
  <c r="I26" i="9" s="1"/>
  <c r="E26" i="9"/>
  <c r="J26" i="9"/>
  <c r="K26" i="9"/>
  <c r="S26" i="9"/>
  <c r="T26" i="9"/>
  <c r="U26" i="9"/>
  <c r="V26" i="9"/>
  <c r="W26" i="9"/>
  <c r="X26" i="9"/>
  <c r="Y26" i="9"/>
  <c r="Z26" i="9"/>
  <c r="AA26" i="9"/>
  <c r="C27" i="9"/>
  <c r="H27" i="9" s="1"/>
  <c r="D27" i="9"/>
  <c r="E27" i="9"/>
  <c r="I27" i="9"/>
  <c r="J27" i="9"/>
  <c r="K27" i="9"/>
  <c r="S27" i="9"/>
  <c r="T27" i="9"/>
  <c r="U27" i="9"/>
  <c r="V27" i="9"/>
  <c r="W27" i="9"/>
  <c r="X27" i="9"/>
  <c r="Y27" i="9"/>
  <c r="Z27" i="9"/>
  <c r="AA27" i="9"/>
  <c r="D28" i="9"/>
  <c r="I28" i="9" s="1"/>
  <c r="E28" i="9"/>
  <c r="J28" i="9"/>
  <c r="K28" i="9"/>
  <c r="S28" i="9"/>
  <c r="T28" i="9"/>
  <c r="U28" i="9"/>
  <c r="V28" i="9"/>
  <c r="W28" i="9"/>
  <c r="X28" i="9"/>
  <c r="Y28" i="9"/>
  <c r="Z28" i="9"/>
  <c r="AA28" i="9"/>
  <c r="D29" i="9"/>
  <c r="L29" i="9" s="1"/>
  <c r="E29" i="9"/>
  <c r="F29" i="9"/>
  <c r="K29" i="9" s="1"/>
  <c r="H29" i="9"/>
  <c r="I29" i="9"/>
  <c r="J29" i="9"/>
  <c r="N29" i="9" s="1"/>
  <c r="S29" i="9"/>
  <c r="T29" i="9"/>
  <c r="U29" i="9"/>
  <c r="V29" i="9"/>
  <c r="W29" i="9"/>
  <c r="X29" i="9"/>
  <c r="Y29" i="9"/>
  <c r="Z29" i="9"/>
  <c r="AA29" i="9"/>
  <c r="B30" i="9"/>
  <c r="G30" i="9" s="1"/>
  <c r="D30" i="9"/>
  <c r="I30" i="9" s="1"/>
  <c r="E30" i="9"/>
  <c r="J30" i="9" s="1"/>
  <c r="H30" i="9"/>
  <c r="K30" i="9"/>
  <c r="S30" i="9"/>
  <c r="T30" i="9"/>
  <c r="U30" i="9"/>
  <c r="V30" i="9"/>
  <c r="W30" i="9"/>
  <c r="X30" i="9"/>
  <c r="Y30" i="9"/>
  <c r="Z30" i="9"/>
  <c r="AA30" i="9"/>
  <c r="D31" i="9"/>
  <c r="I31" i="9" s="1"/>
  <c r="E31" i="9"/>
  <c r="J31" i="9" s="1"/>
  <c r="G31" i="9"/>
  <c r="H31" i="9"/>
  <c r="K31" i="9"/>
  <c r="S31" i="9"/>
  <c r="T31" i="9"/>
  <c r="U31" i="9"/>
  <c r="V31" i="9"/>
  <c r="W31" i="9"/>
  <c r="X31" i="9"/>
  <c r="Y31" i="9"/>
  <c r="Z31" i="9"/>
  <c r="AA31" i="9"/>
  <c r="I32" i="9"/>
  <c r="J32" i="9"/>
  <c r="K32" i="9"/>
  <c r="L32" i="9"/>
  <c r="M32" i="9"/>
  <c r="S32" i="9"/>
  <c r="T32" i="9"/>
  <c r="U32" i="9"/>
  <c r="V32" i="9"/>
  <c r="W32" i="9"/>
  <c r="X32" i="9"/>
  <c r="Y32" i="9"/>
  <c r="Z32" i="9"/>
  <c r="AA32" i="9"/>
  <c r="K33" i="9"/>
  <c r="L33" i="9"/>
  <c r="M33" i="9"/>
  <c r="S33" i="9"/>
  <c r="T33" i="9"/>
  <c r="U33" i="9"/>
  <c r="V33" i="9"/>
  <c r="W33" i="9"/>
  <c r="X33" i="9"/>
  <c r="Y33" i="9"/>
  <c r="Z33" i="9"/>
  <c r="AA33" i="9"/>
  <c r="S34" i="9"/>
  <c r="T34" i="9"/>
  <c r="U34" i="9"/>
  <c r="V34" i="9"/>
  <c r="W34" i="9"/>
  <c r="X34" i="9"/>
  <c r="Y34" i="9"/>
  <c r="Z34" i="9"/>
  <c r="AA34" i="9"/>
  <c r="S35" i="9"/>
  <c r="T35" i="9"/>
  <c r="U35" i="9"/>
  <c r="V35" i="9"/>
  <c r="W35" i="9"/>
  <c r="X35" i="9"/>
  <c r="Y35" i="9"/>
  <c r="Z35" i="9"/>
  <c r="AA35" i="9"/>
  <c r="S36" i="9"/>
  <c r="T36" i="9"/>
  <c r="U36" i="9"/>
  <c r="V36" i="9"/>
  <c r="W36" i="9"/>
  <c r="X36" i="9"/>
  <c r="Y36" i="9"/>
  <c r="Z36" i="9"/>
  <c r="AA36" i="9"/>
  <c r="S37" i="9"/>
  <c r="T37" i="9"/>
  <c r="U37" i="9"/>
  <c r="V37" i="9"/>
  <c r="W37" i="9"/>
  <c r="X37" i="9"/>
  <c r="Y37" i="9"/>
  <c r="Z37" i="9"/>
  <c r="AA37" i="9"/>
  <c r="AC38" i="9"/>
  <c r="AL65" i="9"/>
  <c r="AL67" i="9"/>
  <c r="O31" i="9" l="1"/>
  <c r="AA24" i="9"/>
  <c r="M30" i="9"/>
  <c r="L30" i="9"/>
  <c r="M31" i="9"/>
  <c r="O29" i="9"/>
  <c r="M7" i="9"/>
  <c r="L31" i="9"/>
  <c r="O30" i="9"/>
  <c r="L7" i="9"/>
  <c r="L26" i="9"/>
  <c r="M23" i="9"/>
  <c r="N30" i="9"/>
  <c r="N31" i="9"/>
  <c r="O8" i="9"/>
  <c r="N8" i="9"/>
  <c r="M28" i="9"/>
  <c r="M29" i="9"/>
  <c r="M6" i="9"/>
  <c r="L28" i="9"/>
  <c r="L6" i="9"/>
  <c r="P9" i="11"/>
  <c r="T20" i="11" s="1"/>
  <c r="G17" i="11"/>
  <c r="P10" i="11"/>
  <c r="M30" i="11" s="1"/>
  <c r="I17" i="11"/>
  <c r="Q9" i="11"/>
  <c r="X8" i="10"/>
  <c r="X9" i="10"/>
  <c r="AA10" i="10"/>
  <c r="Z10" i="10"/>
  <c r="Z8" i="10"/>
  <c r="AA8" i="10"/>
  <c r="Z9" i="10"/>
  <c r="AA9" i="10"/>
  <c r="U16" i="10"/>
  <c r="W17" i="10" s="1"/>
  <c r="N23" i="9"/>
  <c r="O23" i="9"/>
  <c r="N27" i="9"/>
  <c r="O27" i="9"/>
  <c r="O5" i="9"/>
  <c r="N5" i="9"/>
  <c r="N7" i="9"/>
  <c r="Z24" i="9"/>
  <c r="O7" i="9"/>
  <c r="M5" i="9"/>
  <c r="L11" i="9"/>
  <c r="L5" i="9"/>
  <c r="K11" i="9"/>
  <c r="N11" i="9" s="1"/>
  <c r="K10" i="9"/>
  <c r="O10" i="9" s="1"/>
  <c r="K9" i="9"/>
  <c r="O9" i="9" s="1"/>
  <c r="K6" i="9"/>
  <c r="N6" i="9" s="1"/>
  <c r="K5" i="9"/>
  <c r="K8" i="9"/>
  <c r="K7" i="9"/>
  <c r="J5" i="9"/>
  <c r="M27" i="9"/>
  <c r="K13" i="9"/>
  <c r="N13" i="9" s="1"/>
  <c r="H12" i="9"/>
  <c r="N12" i="9" s="1"/>
  <c r="G8" i="9"/>
  <c r="G7" i="9"/>
  <c r="L27" i="9"/>
  <c r="M26" i="9"/>
  <c r="G12" i="9"/>
  <c r="L24" i="9"/>
  <c r="L23" i="9"/>
  <c r="J33" i="9"/>
  <c r="H32" i="9"/>
  <c r="G29" i="9"/>
  <c r="H28" i="9"/>
  <c r="I14" i="9"/>
  <c r="I33" i="9"/>
  <c r="N33" i="9" s="1"/>
  <c r="G32" i="9"/>
  <c r="G28" i="9"/>
  <c r="G27" i="9"/>
  <c r="H26" i="9"/>
  <c r="N26" i="9" s="1"/>
  <c r="I25" i="9"/>
  <c r="I24" i="9"/>
  <c r="H14" i="9"/>
  <c r="H33" i="9"/>
  <c r="H25" i="9"/>
  <c r="N25" i="9" s="1"/>
  <c r="H24" i="9"/>
  <c r="G14" i="9"/>
  <c r="N14" i="9" s="1"/>
  <c r="C13" i="7"/>
  <c r="C14" i="7"/>
  <c r="D14" i="7"/>
  <c r="D15" i="7"/>
  <c r="C8" i="1"/>
  <c r="C9" i="1"/>
  <c r="C10" i="1"/>
  <c r="C11" i="1"/>
  <c r="R11" i="1"/>
  <c r="R8" i="1"/>
  <c r="O33" i="9" l="1"/>
  <c r="N9" i="9"/>
  <c r="O6" i="9"/>
  <c r="N10" i="9"/>
  <c r="I20" i="11"/>
  <c r="I21" i="11" s="1"/>
  <c r="L17" i="11"/>
  <c r="M17" i="11"/>
  <c r="P26" i="11" s="1"/>
  <c r="P27" i="11" s="1"/>
  <c r="N24" i="9"/>
  <c r="O24" i="9"/>
  <c r="O25" i="9"/>
  <c r="N32" i="9"/>
  <c r="O32" i="9"/>
  <c r="N28" i="9"/>
  <c r="O28" i="9"/>
  <c r="O26" i="9"/>
  <c r="I78" i="4"/>
  <c r="N25" i="4"/>
  <c r="L21" i="4"/>
  <c r="J25" i="4"/>
  <c r="I25" i="4"/>
  <c r="M22" i="11" l="1"/>
  <c r="M23" i="11" s="1"/>
  <c r="O26" i="11"/>
  <c r="O27" i="11" s="1"/>
  <c r="O28" i="11" s="1"/>
  <c r="P28" i="11" s="1"/>
  <c r="S20" i="11"/>
  <c r="S21" i="11" s="1"/>
  <c r="K21" i="11"/>
  <c r="L21" i="11"/>
  <c r="C8" i="7"/>
  <c r="B8" i="7"/>
  <c r="C7" i="7"/>
  <c r="B7" i="7"/>
  <c r="L25" i="4" l="1"/>
  <c r="J61" i="4" l="1"/>
  <c r="I61" i="4"/>
  <c r="J11" i="4"/>
  <c r="I11" i="4"/>
  <c r="G52" i="5" l="1"/>
  <c r="G51" i="5"/>
  <c r="H52" i="5"/>
  <c r="H51" i="5"/>
  <c r="J52" i="5"/>
  <c r="J51" i="5"/>
  <c r="I52" i="5"/>
  <c r="I51" i="5"/>
  <c r="H49" i="5"/>
  <c r="I49" i="5"/>
  <c r="H50" i="5"/>
  <c r="I50" i="5" s="1"/>
  <c r="I48" i="5"/>
  <c r="H48" i="5"/>
  <c r="G49" i="5"/>
  <c r="G50" i="5"/>
  <c r="G48" i="5"/>
  <c r="N14" i="6" l="1"/>
  <c r="M14" i="6"/>
  <c r="L14" i="6"/>
  <c r="M13" i="6"/>
  <c r="L13" i="6"/>
  <c r="J13" i="6"/>
  <c r="AE36" i="5" l="1"/>
  <c r="AE37" i="5"/>
  <c r="AE38" i="5"/>
  <c r="AE39" i="5"/>
  <c r="AE40" i="5"/>
  <c r="AE41" i="5"/>
  <c r="AE35" i="5"/>
  <c r="W11" i="3" l="1"/>
  <c r="X11" i="3"/>
  <c r="W78" i="2"/>
  <c r="X78" i="2"/>
  <c r="W79" i="2"/>
  <c r="X79" i="2"/>
  <c r="W77" i="2"/>
  <c r="X77" i="2"/>
  <c r="V79" i="2"/>
  <c r="V78" i="2"/>
  <c r="V77" i="2"/>
  <c r="P47" i="2"/>
  <c r="P46" i="2"/>
  <c r="P45" i="2"/>
  <c r="P44" i="2"/>
  <c r="P43" i="2"/>
  <c r="O47" i="2"/>
  <c r="O46" i="2"/>
  <c r="O45" i="2"/>
  <c r="O44" i="2"/>
  <c r="O43" i="2"/>
  <c r="N47" i="2"/>
  <c r="N46" i="2"/>
  <c r="N45" i="2"/>
  <c r="N44" i="2"/>
  <c r="N43" i="2"/>
  <c r="S43" i="2"/>
  <c r="Q47" i="2"/>
  <c r="Q46" i="2"/>
  <c r="AR36" i="2"/>
  <c r="I31" i="6" l="1"/>
  <c r="H14" i="6"/>
  <c r="H13" i="6"/>
  <c r="AD36" i="5" l="1"/>
  <c r="AD37" i="5"/>
  <c r="AD38" i="5"/>
  <c r="AD39" i="5"/>
  <c r="AD40" i="5"/>
  <c r="AD41" i="5"/>
  <c r="AD35" i="5"/>
  <c r="G32" i="6" l="1"/>
  <c r="G31" i="6"/>
  <c r="AC36" i="5" l="1"/>
  <c r="AC37" i="5"/>
  <c r="AC38" i="5"/>
  <c r="AC39" i="5"/>
  <c r="AC40" i="5"/>
  <c r="AC41" i="5"/>
  <c r="AC35" i="5"/>
  <c r="AB36" i="5"/>
  <c r="AB37" i="5"/>
  <c r="AB38" i="5"/>
  <c r="AB39" i="5"/>
  <c r="AB40" i="5"/>
  <c r="AB41" i="5"/>
  <c r="AB35" i="5"/>
  <c r="AA36" i="5"/>
  <c r="AA37" i="5"/>
  <c r="AA38" i="5"/>
  <c r="AA39" i="5"/>
  <c r="AA40" i="5"/>
  <c r="AA41" i="5"/>
  <c r="AA35" i="5"/>
  <c r="Z40" i="5"/>
  <c r="Y40" i="5"/>
  <c r="X37" i="5"/>
  <c r="W37" i="5"/>
  <c r="Z37" i="5"/>
  <c r="Y37" i="5"/>
  <c r="AK28" i="5"/>
  <c r="H25" i="6"/>
  <c r="F25" i="6"/>
  <c r="D25" i="6"/>
  <c r="I25" i="6" s="1"/>
  <c r="D32" i="6" s="1"/>
  <c r="H24" i="6"/>
  <c r="F24" i="6"/>
  <c r="D24" i="6"/>
  <c r="K16" i="5"/>
  <c r="K14" i="5"/>
  <c r="K13" i="5"/>
  <c r="G16" i="5"/>
  <c r="G73" i="4"/>
  <c r="E73" i="4"/>
  <c r="C73" i="4"/>
  <c r="I24" i="6" l="1"/>
  <c r="D31" i="6" s="1"/>
  <c r="J25" i="6"/>
  <c r="E32" i="6" s="1"/>
  <c r="J24" i="6"/>
  <c r="E31" i="6" s="1"/>
  <c r="F62" i="4"/>
  <c r="F63" i="4"/>
  <c r="F64" i="4"/>
  <c r="F65" i="4"/>
  <c r="F66" i="4"/>
  <c r="F67" i="4"/>
  <c r="F68" i="4"/>
  <c r="F69" i="4"/>
  <c r="F70" i="4"/>
  <c r="F71" i="4"/>
  <c r="H62" i="4"/>
  <c r="H63" i="4"/>
  <c r="H64" i="4"/>
  <c r="H65" i="4"/>
  <c r="H66" i="4"/>
  <c r="H67" i="4"/>
  <c r="H68" i="4"/>
  <c r="H69" i="4"/>
  <c r="H70" i="4"/>
  <c r="H71" i="4"/>
  <c r="D62" i="4"/>
  <c r="D63" i="4"/>
  <c r="D64" i="4"/>
  <c r="D65" i="4"/>
  <c r="D66" i="4"/>
  <c r="J66" i="4" s="1"/>
  <c r="D67" i="4"/>
  <c r="D68" i="4"/>
  <c r="D69" i="4"/>
  <c r="D70" i="4"/>
  <c r="J70" i="4" s="1"/>
  <c r="D71" i="4"/>
  <c r="J71" i="4" s="1"/>
  <c r="H73" i="4"/>
  <c r="F73" i="4"/>
  <c r="J73" i="4" s="1"/>
  <c r="D73" i="4"/>
  <c r="J72" i="4"/>
  <c r="I72" i="4"/>
  <c r="J68" i="4"/>
  <c r="I68" i="4"/>
  <c r="J62" i="4" l="1"/>
  <c r="J65" i="4"/>
  <c r="J69" i="4"/>
  <c r="I73" i="4"/>
  <c r="I75" i="4" s="1"/>
  <c r="I65" i="4"/>
  <c r="J67" i="4"/>
  <c r="I63" i="4"/>
  <c r="I64" i="4"/>
  <c r="J63" i="4"/>
  <c r="I70" i="4"/>
  <c r="I71" i="4"/>
  <c r="I62" i="4"/>
  <c r="I67" i="4"/>
  <c r="J64" i="4"/>
  <c r="I69" i="4"/>
  <c r="I66" i="4"/>
  <c r="I10" i="5" l="1"/>
  <c r="K10" i="5" s="1"/>
  <c r="H12" i="5"/>
  <c r="H13" i="5"/>
  <c r="H14" i="5"/>
  <c r="H15" i="5"/>
  <c r="H16" i="5"/>
  <c r="H10" i="5"/>
  <c r="F12" i="5"/>
  <c r="F13" i="5"/>
  <c r="F14" i="5"/>
  <c r="F15" i="5"/>
  <c r="F16" i="5"/>
  <c r="F10" i="5"/>
  <c r="D10" i="5"/>
  <c r="J10" i="5" s="1"/>
  <c r="D12" i="5"/>
  <c r="D13" i="5"/>
  <c r="D14" i="5"/>
  <c r="D15" i="5"/>
  <c r="D16" i="5"/>
  <c r="D11" i="5"/>
  <c r="H11" i="5"/>
  <c r="F11" i="5"/>
  <c r="I11" i="5" s="1"/>
  <c r="K11" i="5" s="1"/>
  <c r="E14" i="6"/>
  <c r="D14" i="6"/>
  <c r="J15" i="5" l="1"/>
  <c r="I15" i="5"/>
  <c r="K15" i="5" s="1"/>
  <c r="J14" i="5"/>
  <c r="I14" i="5"/>
  <c r="J11" i="5"/>
  <c r="I16" i="5"/>
  <c r="J13" i="5"/>
  <c r="I13" i="5"/>
  <c r="J16" i="5"/>
  <c r="J12" i="5"/>
  <c r="I12" i="5"/>
  <c r="K12" i="5" s="1"/>
  <c r="T20" i="2"/>
  <c r="T21" i="2"/>
  <c r="R10" i="1" l="1"/>
  <c r="Y74" i="2" l="1"/>
  <c r="Y73" i="2"/>
  <c r="K5" i="5" l="1"/>
  <c r="L5" i="5" s="1"/>
  <c r="H7" i="6" l="1"/>
  <c r="F7" i="6"/>
  <c r="D7" i="6"/>
  <c r="J7" i="6" s="1"/>
  <c r="H6" i="6"/>
  <c r="F6" i="6"/>
  <c r="D6" i="6"/>
  <c r="J6" i="6" l="1"/>
  <c r="E13" i="6" s="1"/>
  <c r="I6" i="6"/>
  <c r="D13" i="6" s="1"/>
  <c r="I7" i="6"/>
  <c r="E3" i="5"/>
  <c r="F3" i="5"/>
  <c r="C3" i="5"/>
  <c r="D3" i="5"/>
  <c r="H4" i="5"/>
  <c r="H5" i="5"/>
  <c r="H6" i="5"/>
  <c r="J6" i="5" s="1"/>
  <c r="F4" i="5"/>
  <c r="F5" i="5"/>
  <c r="F6" i="5"/>
  <c r="D4" i="5"/>
  <c r="J4" i="5" s="1"/>
  <c r="D5" i="5"/>
  <c r="D6" i="5"/>
  <c r="I6" i="5" s="1"/>
  <c r="I4" i="5" l="1"/>
  <c r="J5" i="5"/>
  <c r="I5" i="5"/>
  <c r="J24" i="4"/>
  <c r="I24" i="4"/>
  <c r="H23" i="4"/>
  <c r="F23" i="4"/>
  <c r="J23" i="4" s="1"/>
  <c r="D23" i="4"/>
  <c r="H3" i="5"/>
  <c r="J3" i="5" s="1"/>
  <c r="I23" i="4" l="1"/>
  <c r="I3" i="5"/>
  <c r="K6" i="5" s="1"/>
  <c r="L6" i="5" s="1"/>
  <c r="K3" i="5"/>
  <c r="L3" i="5" s="1"/>
  <c r="K4" i="5"/>
  <c r="L4" i="5" s="1"/>
  <c r="F12" i="4"/>
  <c r="J12" i="4" s="1"/>
  <c r="F13" i="4"/>
  <c r="I13" i="4" s="1"/>
  <c r="D12" i="4"/>
  <c r="H13" i="4"/>
  <c r="D13" i="4"/>
  <c r="H22" i="4"/>
  <c r="F22" i="4"/>
  <c r="D22" i="4"/>
  <c r="H21" i="4"/>
  <c r="F21" i="4"/>
  <c r="D21" i="4"/>
  <c r="H20" i="4"/>
  <c r="I12" i="4" l="1"/>
  <c r="J21" i="4"/>
  <c r="J13" i="4"/>
  <c r="J22" i="4"/>
  <c r="I22" i="4"/>
  <c r="I21" i="4"/>
  <c r="F20" i="4"/>
  <c r="D20" i="4"/>
  <c r="J20" i="4" s="1"/>
  <c r="J43" i="2"/>
  <c r="T58" i="2"/>
  <c r="S58" i="2"/>
  <c r="T57" i="2"/>
  <c r="S57" i="2"/>
  <c r="T45" i="2"/>
  <c r="S45" i="2"/>
  <c r="T56" i="2"/>
  <c r="K40" i="2"/>
  <c r="K41" i="2"/>
  <c r="K42" i="2"/>
  <c r="K39" i="2"/>
  <c r="T55" i="2"/>
  <c r="T54" i="2"/>
  <c r="T53" i="2"/>
  <c r="H18" i="4"/>
  <c r="F18" i="4"/>
  <c r="D18" i="4"/>
  <c r="H25" i="4"/>
  <c r="F25" i="4"/>
  <c r="D25" i="4"/>
  <c r="H14" i="4"/>
  <c r="H15" i="4"/>
  <c r="H16" i="4"/>
  <c r="H17" i="4"/>
  <c r="H19" i="4"/>
  <c r="F14" i="4"/>
  <c r="F15" i="4"/>
  <c r="F16" i="4"/>
  <c r="F17" i="4"/>
  <c r="J17" i="4" s="1"/>
  <c r="F19" i="4"/>
  <c r="D14" i="4"/>
  <c r="J14" i="4" s="1"/>
  <c r="D15" i="4"/>
  <c r="D16" i="4"/>
  <c r="D17" i="4"/>
  <c r="D19" i="4"/>
  <c r="J18" i="4" l="1"/>
  <c r="I19" i="4"/>
  <c r="I17" i="4"/>
  <c r="I18" i="4"/>
  <c r="I20" i="4"/>
  <c r="O14" i="4" s="1"/>
  <c r="J19" i="4"/>
  <c r="S44" i="2"/>
  <c r="T44" i="2"/>
  <c r="I14" i="4"/>
  <c r="I15" i="4"/>
  <c r="J15" i="4"/>
  <c r="J16" i="4"/>
  <c r="I16" i="4"/>
  <c r="S23" i="2"/>
  <c r="S22" i="2"/>
  <c r="T19" i="2"/>
  <c r="H24" i="2"/>
  <c r="H23" i="2"/>
  <c r="I21" i="2"/>
  <c r="I22" i="2"/>
  <c r="I23" i="2" s="1"/>
  <c r="AA10" i="2" s="1"/>
  <c r="I20" i="2"/>
  <c r="Q110" i="2"/>
  <c r="W97" i="2" s="1"/>
  <c r="P110" i="2"/>
  <c r="Q109" i="2"/>
  <c r="V97" i="2" s="1"/>
  <c r="P109" i="2"/>
  <c r="Q106" i="2"/>
  <c r="Q107" i="2"/>
  <c r="Q108" i="2"/>
  <c r="Q105" i="2"/>
  <c r="W110" i="2"/>
  <c r="W98" i="2" s="1"/>
  <c r="V110" i="2"/>
  <c r="W107" i="2"/>
  <c r="W108" i="2"/>
  <c r="W109" i="2"/>
  <c r="V98" i="2" s="1"/>
  <c r="V109" i="2"/>
  <c r="W106" i="2"/>
  <c r="W105" i="2"/>
  <c r="T23" i="2" l="1"/>
  <c r="AB13" i="2" s="1"/>
  <c r="T22" i="2"/>
  <c r="AA13" i="2" s="1"/>
  <c r="I24" i="2"/>
  <c r="AB10" i="2" s="1"/>
  <c r="U98" i="2"/>
  <c r="U97" i="2"/>
  <c r="T43" i="2" l="1"/>
  <c r="X13" i="3" l="1"/>
  <c r="W13" i="3"/>
  <c r="X12" i="3"/>
  <c r="W12" i="3"/>
  <c r="J10" i="3"/>
  <c r="J9" i="3"/>
  <c r="J6" i="3"/>
  <c r="J7" i="3"/>
  <c r="J8" i="3"/>
  <c r="J5" i="3"/>
  <c r="I28" i="3"/>
  <c r="I27" i="3"/>
  <c r="I10" i="3" l="1"/>
  <c r="I9" i="3"/>
  <c r="J16" i="3"/>
  <c r="K17" i="3" s="1"/>
  <c r="L17" i="3" s="1"/>
  <c r="H17" i="3"/>
  <c r="H16" i="3"/>
  <c r="Q9" i="3"/>
  <c r="P9" i="3"/>
  <c r="Q8" i="3"/>
  <c r="P8" i="3"/>
  <c r="Q6" i="3"/>
  <c r="Q7" i="3"/>
  <c r="P23" i="3"/>
  <c r="Q5" i="3"/>
  <c r="P22" i="3"/>
  <c r="C10" i="3" l="1"/>
  <c r="B10" i="3"/>
  <c r="C9" i="3"/>
  <c r="B9" i="3"/>
  <c r="C6" i="3"/>
  <c r="C7" i="3"/>
  <c r="C8" i="3"/>
  <c r="C5" i="3"/>
  <c r="J110" i="2" l="1"/>
  <c r="W96" i="2" s="1"/>
  <c r="I110" i="2"/>
  <c r="I109" i="2"/>
  <c r="J106" i="2"/>
  <c r="J107" i="2"/>
  <c r="J108" i="2"/>
  <c r="J109" i="2" s="1"/>
  <c r="V96" i="2" s="1"/>
  <c r="J105" i="2"/>
  <c r="W95" i="2"/>
  <c r="V95" i="2"/>
  <c r="C110" i="2"/>
  <c r="B110" i="2"/>
  <c r="C109" i="2"/>
  <c r="B109" i="2"/>
  <c r="W83" i="2"/>
  <c r="C106" i="2"/>
  <c r="C107" i="2"/>
  <c r="C108" i="2"/>
  <c r="T47" i="2"/>
  <c r="T46" i="2"/>
  <c r="S47" i="2"/>
  <c r="S46" i="2"/>
  <c r="C105" i="2"/>
  <c r="C94" i="2"/>
  <c r="C96" i="2"/>
  <c r="V92" i="2" s="1"/>
  <c r="B97" i="2"/>
  <c r="B96" i="2"/>
  <c r="C95" i="2"/>
  <c r="J95" i="2"/>
  <c r="J96" i="2" s="1"/>
  <c r="V93" i="2" s="1"/>
  <c r="W94" i="2"/>
  <c r="V94" i="2"/>
  <c r="Q97" i="2"/>
  <c r="P97" i="2"/>
  <c r="Q96" i="2"/>
  <c r="P96" i="2"/>
  <c r="Q95" i="2"/>
  <c r="I97" i="2"/>
  <c r="I96" i="2"/>
  <c r="J93" i="2"/>
  <c r="J94" i="2"/>
  <c r="J92" i="2"/>
  <c r="C97" i="2"/>
  <c r="W92" i="2" s="1"/>
  <c r="C93" i="2"/>
  <c r="C92" i="2"/>
  <c r="Q94" i="2"/>
  <c r="Q93" i="2"/>
  <c r="Q92" i="2"/>
  <c r="J97" i="2" l="1"/>
  <c r="W93" i="2" s="1"/>
  <c r="X74" i="2"/>
  <c r="W74" i="2"/>
  <c r="X73" i="2"/>
  <c r="W73" i="2"/>
  <c r="R78" i="2"/>
  <c r="Q78" i="2"/>
  <c r="R77" i="2"/>
  <c r="Q77" i="2"/>
  <c r="J78" i="2"/>
  <c r="I78" i="2"/>
  <c r="J77" i="2"/>
  <c r="I77" i="2"/>
  <c r="X72" i="2"/>
  <c r="W72" i="2"/>
  <c r="X71" i="2"/>
  <c r="W71" i="2"/>
  <c r="R76" i="2"/>
  <c r="Q76" i="2"/>
  <c r="R75" i="2"/>
  <c r="Q75" i="2"/>
  <c r="X70" i="2"/>
  <c r="B76" i="2"/>
  <c r="B75" i="2"/>
  <c r="C76" i="2"/>
  <c r="C75" i="2"/>
  <c r="J76" i="2"/>
  <c r="I76" i="2"/>
  <c r="J75" i="2"/>
  <c r="I75" i="2"/>
  <c r="R73" i="2"/>
  <c r="R74" i="2"/>
  <c r="R72" i="2"/>
  <c r="J73" i="2"/>
  <c r="J74" i="2"/>
  <c r="J72" i="2"/>
  <c r="C74" i="2"/>
  <c r="C73" i="2"/>
  <c r="C72" i="2"/>
  <c r="S40" i="1"/>
  <c r="R40" i="1"/>
  <c r="S37" i="1"/>
  <c r="R37" i="1"/>
  <c r="K61" i="1"/>
  <c r="J61" i="1"/>
  <c r="K60" i="1"/>
  <c r="J60" i="1"/>
  <c r="C45" i="1"/>
  <c r="B45" i="1"/>
  <c r="C44" i="1"/>
  <c r="B44" i="1"/>
  <c r="J59" i="1"/>
  <c r="J58" i="1"/>
  <c r="K55" i="1"/>
  <c r="K56" i="1"/>
  <c r="K57" i="1"/>
  <c r="B43" i="1"/>
  <c r="B42" i="1"/>
  <c r="C39" i="1"/>
  <c r="C40" i="1"/>
  <c r="C41" i="1"/>
  <c r="C42" i="1" l="1"/>
  <c r="C43" i="1"/>
  <c r="E44" i="2"/>
  <c r="E43" i="2"/>
  <c r="D44" i="2"/>
  <c r="E40" i="2"/>
  <c r="E41" i="2"/>
  <c r="E39" i="2"/>
  <c r="D43" i="2"/>
  <c r="N54" i="2"/>
  <c r="N55" i="2"/>
  <c r="N56" i="2"/>
  <c r="N57" i="2"/>
  <c r="N53" i="2"/>
  <c r="M57" i="2"/>
  <c r="L57" i="2"/>
  <c r="M56" i="2"/>
  <c r="L56" i="2"/>
  <c r="M54" i="2"/>
  <c r="M55" i="2"/>
  <c r="M53" i="2"/>
  <c r="E58" i="2"/>
  <c r="D58" i="2"/>
  <c r="E57" i="2"/>
  <c r="E54" i="2"/>
  <c r="E55" i="2"/>
  <c r="E56" i="2"/>
  <c r="E53" i="2"/>
  <c r="D57" i="2"/>
  <c r="AB11" i="2"/>
  <c r="AA11" i="2"/>
  <c r="M13" i="2"/>
  <c r="L13" i="2"/>
  <c r="M12" i="2"/>
  <c r="M9" i="2"/>
  <c r="M10" i="2"/>
  <c r="M8" i="2"/>
  <c r="L12" i="2"/>
  <c r="AB9" i="2"/>
  <c r="AA9" i="2"/>
  <c r="AB12" i="2"/>
  <c r="AA12" i="2"/>
  <c r="V12" i="2"/>
  <c r="U12" i="2"/>
  <c r="V11" i="2"/>
  <c r="U11" i="2"/>
  <c r="V9" i="2"/>
  <c r="V10" i="2"/>
  <c r="V8" i="2"/>
  <c r="C11" i="2"/>
  <c r="B12" i="2"/>
  <c r="E13" i="2"/>
  <c r="D13" i="2"/>
  <c r="E12" i="2"/>
  <c r="D12" i="2"/>
  <c r="E11" i="2"/>
  <c r="E10" i="2"/>
  <c r="E9" i="2"/>
  <c r="E8" i="2"/>
  <c r="S8" i="1"/>
  <c r="M25" i="1"/>
  <c r="L25" i="1"/>
  <c r="M24" i="1"/>
  <c r="L24" i="1"/>
  <c r="M21" i="1"/>
  <c r="M22" i="1"/>
  <c r="M20" i="1"/>
  <c r="M9" i="1"/>
  <c r="M10" i="1"/>
  <c r="M8" i="1"/>
  <c r="L13" i="1"/>
  <c r="L12" i="1"/>
  <c r="S10" i="1"/>
  <c r="E13" i="1"/>
  <c r="D13" i="1"/>
  <c r="E12" i="1"/>
  <c r="D12" i="1"/>
  <c r="E9" i="1"/>
  <c r="E10" i="1"/>
  <c r="E11" i="1"/>
  <c r="E8" i="1"/>
  <c r="J13" i="2"/>
  <c r="J12" i="2"/>
  <c r="S11" i="2"/>
  <c r="S12" i="2"/>
  <c r="J57" i="2"/>
  <c r="J56" i="2"/>
  <c r="K54" i="2"/>
  <c r="K55" i="2"/>
  <c r="K53" i="2"/>
  <c r="K57" i="2" s="1"/>
  <c r="T41" i="2" s="1"/>
  <c r="B58" i="2"/>
  <c r="B57" i="2"/>
  <c r="B44" i="2"/>
  <c r="C43" i="2"/>
  <c r="S38" i="2" s="1"/>
  <c r="U38" i="2" s="1"/>
  <c r="B43" i="2"/>
  <c r="C40" i="2"/>
  <c r="C41" i="2"/>
  <c r="C42" i="2"/>
  <c r="C39" i="2"/>
  <c r="C44" i="2" s="1"/>
  <c r="T38" i="2" s="1"/>
  <c r="C54" i="2"/>
  <c r="C55" i="2"/>
  <c r="C53" i="2"/>
  <c r="C58" i="2" s="1"/>
  <c r="T40" i="2" s="1"/>
  <c r="J44" i="2"/>
  <c r="K44" i="2"/>
  <c r="T39" i="2" s="1"/>
  <c r="M13" i="1" l="1"/>
  <c r="S11" i="1" s="1"/>
  <c r="M12" i="1"/>
  <c r="K56" i="2"/>
  <c r="S41" i="2" s="1"/>
  <c r="U41" i="2" s="1"/>
  <c r="C57" i="2"/>
  <c r="S40" i="2" s="1"/>
  <c r="U40" i="2" s="1"/>
  <c r="K43" i="2"/>
  <c r="C8" i="2"/>
  <c r="C9" i="2"/>
  <c r="C10" i="2"/>
  <c r="B13" i="2"/>
  <c r="T10" i="2"/>
  <c r="T9" i="2"/>
  <c r="T8" i="2"/>
  <c r="K11" i="2"/>
  <c r="K10" i="2"/>
  <c r="K9" i="2"/>
  <c r="K8" i="2"/>
  <c r="S39" i="1"/>
  <c r="R39" i="1"/>
  <c r="S38" i="1"/>
  <c r="R38" i="1"/>
  <c r="K41" i="1"/>
  <c r="K40" i="1"/>
  <c r="J41" i="1"/>
  <c r="J40" i="1"/>
  <c r="K39" i="1"/>
  <c r="K38" i="1"/>
  <c r="K37" i="1"/>
  <c r="B56" i="1"/>
  <c r="C55" i="1"/>
  <c r="B55" i="1"/>
  <c r="K54" i="1"/>
  <c r="C54" i="1"/>
  <c r="K53" i="1"/>
  <c r="C53" i="1"/>
  <c r="K52" i="1"/>
  <c r="C52" i="1"/>
  <c r="C38" i="1"/>
  <c r="C37" i="1"/>
  <c r="K25" i="1"/>
  <c r="K24" i="1"/>
  <c r="J25" i="1"/>
  <c r="J24" i="1"/>
  <c r="D24" i="1"/>
  <c r="D23" i="1"/>
  <c r="E21" i="1"/>
  <c r="E22" i="1"/>
  <c r="E24" i="1" s="1"/>
  <c r="S9" i="1" s="1"/>
  <c r="E20" i="1"/>
  <c r="K23" i="1"/>
  <c r="K22" i="1"/>
  <c r="K21" i="1"/>
  <c r="K20" i="1"/>
  <c r="B24" i="1"/>
  <c r="B23" i="1"/>
  <c r="C22" i="1"/>
  <c r="C21" i="1"/>
  <c r="C20" i="1"/>
  <c r="K13" i="1"/>
  <c r="J13" i="1"/>
  <c r="K12" i="1"/>
  <c r="J12" i="1"/>
  <c r="K11" i="1"/>
  <c r="K10" i="1"/>
  <c r="K9" i="1"/>
  <c r="K8" i="1"/>
  <c r="B13" i="1"/>
  <c r="C12" i="1"/>
  <c r="C13" i="1"/>
  <c r="B12" i="1"/>
  <c r="S39" i="2" l="1"/>
  <c r="U39" i="2" s="1"/>
  <c r="K58" i="1"/>
  <c r="K59" i="1"/>
  <c r="E23" i="1"/>
  <c r="R9" i="1" s="1"/>
  <c r="K13" i="2"/>
  <c r="K12" i="2"/>
  <c r="C12" i="2"/>
  <c r="T12" i="2"/>
  <c r="T11" i="2"/>
  <c r="C13" i="2"/>
  <c r="C56" i="1"/>
  <c r="C23" i="1"/>
  <c r="C24" i="1"/>
  <c r="W70" i="2"/>
</calcChain>
</file>

<file path=xl/sharedStrings.xml><?xml version="1.0" encoding="utf-8"?>
<sst xmlns="http://schemas.openxmlformats.org/spreadsheetml/2006/main" count="601" uniqueCount="190">
  <si>
    <t>powierzchnia elektrochemiczna</t>
  </si>
  <si>
    <t>Dobór pH mieszaniny crosslinkującej</t>
  </si>
  <si>
    <t>Graphite</t>
  </si>
  <si>
    <t>SD</t>
  </si>
  <si>
    <t>FADGDH 4mgml - 4 mM TH - 3do1 -v/v - 24 mM genipin PB pH8</t>
  </si>
  <si>
    <t>4 mM TH</t>
  </si>
  <si>
    <t>40 mM TH w 100 mM AC pH5  ogrzewana i mieszana przez 1 h w 50 st C</t>
  </si>
  <si>
    <t>rozcieńcozna 1do9 buforem o pH 5,6,7 i 8</t>
  </si>
  <si>
    <t>Ia glukoza (mA)</t>
  </si>
  <si>
    <t>j (mA/cm2)</t>
  </si>
  <si>
    <t>FADGDH 4mgml - 4 mM TH - 3do1 -v/v - 24 mM genipin PB pH7</t>
  </si>
  <si>
    <t>średnia3</t>
  </si>
  <si>
    <t>SD3</t>
  </si>
  <si>
    <t>Epa = -0.096V</t>
  </si>
  <si>
    <t>Epa = -0.073V - max dla tego pH</t>
  </si>
  <si>
    <t>FADGDH 4mgml - 4 mM TH - 3do1 -v/v - 24 mM genipin PB pH6</t>
  </si>
  <si>
    <t>FADGDH 4mgml - 4 mM TH - 3do1 -v/v - 24 mM genipin PB pH5</t>
  </si>
  <si>
    <t>Epa = -0.093V</t>
  </si>
  <si>
    <t>brzydkie piki, rózne ksztłty i potencjały</t>
  </si>
  <si>
    <t>Dobór pH roztworu glukozy</t>
  </si>
  <si>
    <t xml:space="preserve">pomiar CA </t>
  </si>
  <si>
    <t>rozcieńcozna 1do9 buforem o pH 7</t>
  </si>
  <si>
    <t>Glukoza AC pH 5</t>
  </si>
  <si>
    <t>Glukoza PB pH 6</t>
  </si>
  <si>
    <t>Glukoza PB pH 7</t>
  </si>
  <si>
    <t>Glukoza PB pH 8</t>
  </si>
  <si>
    <t>E = 0.1V</t>
  </si>
  <si>
    <t>600s</t>
  </si>
  <si>
    <t>Dobór stężenia TH 4 mM, 2mM, 1 mM</t>
  </si>
  <si>
    <t>4,2,1 mM TH</t>
  </si>
  <si>
    <t>FADGDH 4mgml - 4 mM TH - 3do1 -v/v - 24 mM genipin PB pH</t>
  </si>
  <si>
    <t>FADGDH 4mgml - 2 mM TH - 3do1 -v/v - 24 mM genipin PB pH7</t>
  </si>
  <si>
    <t>200 mM glukoza PB pH8</t>
  </si>
  <si>
    <t>E = -0.1V</t>
  </si>
  <si>
    <t>E =0.1V</t>
  </si>
  <si>
    <t xml:space="preserve">Dobór stężenia genipin 24, 16, 12 i 6 mM </t>
  </si>
  <si>
    <t>rozcieńczona 1do9 buforem o pH 7</t>
  </si>
  <si>
    <t>FADGDH 4mgml - 4 mM TH - 3do1 -v/v - 12 mM genipin PB pH7</t>
  </si>
  <si>
    <t>FADGDH 4mgml - 4 mM TH - 3do1 -v/v - 6 mM genipin PB pH7</t>
  </si>
  <si>
    <t>FADGDH 4mgml - 4 mM TH - 3do1 -v/v - 16 mM genipin PB pH7</t>
  </si>
  <si>
    <t>1do2</t>
  </si>
  <si>
    <t>3do4</t>
  </si>
  <si>
    <t>1do1</t>
  </si>
  <si>
    <t>2do1</t>
  </si>
  <si>
    <t>względem pikuTH</t>
  </si>
  <si>
    <t>j (uA/cm2)</t>
  </si>
  <si>
    <t>Ia (uA)</t>
  </si>
  <si>
    <t>Ia  (uA)</t>
  </si>
  <si>
    <t>srednia uA/cm2</t>
  </si>
  <si>
    <t>srednia mA/cm2</t>
  </si>
  <si>
    <t>2:1</t>
  </si>
  <si>
    <t>3:4</t>
  </si>
  <si>
    <t>1:1</t>
  </si>
  <si>
    <t>1:2</t>
  </si>
  <si>
    <t>FADGDH 4mgml - 1 mM TH - 3do1 -v/v - 24 mM genipin PB pH7</t>
  </si>
  <si>
    <t>stezenie TH</t>
  </si>
  <si>
    <t>Steżęnie genipin</t>
  </si>
  <si>
    <t>MaxPiku</t>
  </si>
  <si>
    <t>pik</t>
  </si>
  <si>
    <t>średnia6</t>
  </si>
  <si>
    <t>średnia5</t>
  </si>
  <si>
    <t>SD5</t>
  </si>
  <si>
    <t>SD6</t>
  </si>
  <si>
    <t>Srednia3</t>
  </si>
  <si>
    <t>rodzaj cross-linkera</t>
  </si>
  <si>
    <t>FADGDH 4mgml - 4 mM TH - 3do1 -v/v - 1%GA PB pH7</t>
  </si>
  <si>
    <t>Genipin</t>
  </si>
  <si>
    <t>BS3</t>
  </si>
  <si>
    <t>GA</t>
  </si>
  <si>
    <t>FADGDH 4mgml - 4 mM TH - 3do1 -v/v - 24mM BS3 PB pH7</t>
  </si>
  <si>
    <t>Srednia 2</t>
  </si>
  <si>
    <t>SD2</t>
  </si>
  <si>
    <t>Srednia2</t>
  </si>
  <si>
    <t>BS3(2)</t>
  </si>
  <si>
    <t>GA(2)</t>
  </si>
  <si>
    <t>genipin</t>
  </si>
  <si>
    <t>FADGDH 6mgml - 4 mM TH - 3do1 -v/v - 24 mM genipin PB pH7</t>
  </si>
  <si>
    <t>FADGDH 2mgml - 4 mM TH - 3do1 -v/v - 24 mM genipin PB pH7</t>
  </si>
  <si>
    <t>FADGDH 1mgml - 4 mM TH - 3do1 -v/v - 24 mM genipin PB pH7</t>
  </si>
  <si>
    <t>FADGDH 8mgml - 4 mM TH - 3do1 -v/v - 24 mM genipin PB pH7</t>
  </si>
  <si>
    <t>3mg/ml</t>
  </si>
  <si>
    <t>4.5mg/ml</t>
  </si>
  <si>
    <t>6mg/ml</t>
  </si>
  <si>
    <t>1.5mg/ml</t>
  </si>
  <si>
    <t>0.75 mg/ml</t>
  </si>
  <si>
    <t>Ag</t>
  </si>
  <si>
    <t>Au</t>
  </si>
  <si>
    <t>K3K4</t>
  </si>
  <si>
    <t>Ia</t>
  </si>
  <si>
    <t xml:space="preserve">10 mM </t>
  </si>
  <si>
    <t>w 0.1M KCl</t>
  </si>
  <si>
    <t>średnia</t>
  </si>
  <si>
    <t>Ru3+</t>
  </si>
  <si>
    <t>w 0.1M KNO3</t>
  </si>
  <si>
    <t>FADGDH 0.5mgml - 4 mM TH - 3do1 -v/v - 24 mM genipin PB pH7</t>
  </si>
  <si>
    <t>FADGDH 0.25mgml - 4 mM TH - 3do1 -v/v - 24 mM genipin PB pH7</t>
  </si>
  <si>
    <t>stężenie enzymu</t>
  </si>
  <si>
    <t xml:space="preserve">Ia </t>
  </si>
  <si>
    <t>FADGDH 4mgml - 3 mM TH - 3do1 -v/v - 24 mM genipin PB pH</t>
  </si>
  <si>
    <t>FADGDH 4mgml - 0.5 mM TH - 3do1 -v/v - 24 mM genipin PB pH</t>
  </si>
  <si>
    <t>Cm glukoza</t>
  </si>
  <si>
    <t>Ia2</t>
  </si>
  <si>
    <t>Ia3</t>
  </si>
  <si>
    <t xml:space="preserve">CA 0.1V </t>
  </si>
  <si>
    <t>Ia1 (mA)</t>
  </si>
  <si>
    <t>j</t>
  </si>
  <si>
    <t>średnia j</t>
  </si>
  <si>
    <t>SD j</t>
  </si>
  <si>
    <t>Bufor PB pH 8</t>
  </si>
  <si>
    <t>FADGDH 4mgml - 4 mM TH - 3do1 -v/v - 20 mM genipin PB pH7</t>
  </si>
  <si>
    <t>I1</t>
  </si>
  <si>
    <t>j1</t>
  </si>
  <si>
    <t>I2</t>
  </si>
  <si>
    <t>j2</t>
  </si>
  <si>
    <t>I3</t>
  </si>
  <si>
    <t>j3</t>
  </si>
  <si>
    <t xml:space="preserve">średnia </t>
  </si>
  <si>
    <t>dzień</t>
  </si>
  <si>
    <t>CA</t>
  </si>
  <si>
    <t>0.1 V</t>
  </si>
  <si>
    <t>600 s</t>
  </si>
  <si>
    <t>Asweat pH 8</t>
  </si>
  <si>
    <t>Asweat pH 4.8</t>
  </si>
  <si>
    <t>%</t>
  </si>
  <si>
    <t>16.65 mM</t>
  </si>
  <si>
    <t>27.75 mM</t>
  </si>
  <si>
    <t>z krzywej wychodzi 29.52 mM</t>
  </si>
  <si>
    <t>Artificial sweat</t>
  </si>
  <si>
    <t xml:space="preserve"> pH 8</t>
  </si>
  <si>
    <t>pH 4.8</t>
  </si>
  <si>
    <t>c glucose</t>
  </si>
  <si>
    <t>c glucose (mM)</t>
  </si>
  <si>
    <t>Bufor AC pH 5</t>
  </si>
  <si>
    <t>Asweat pH 5</t>
  </si>
  <si>
    <t>pH 5</t>
  </si>
  <si>
    <t>z krzywej wychodzi 17.29 mM</t>
  </si>
  <si>
    <t>pH</t>
  </si>
  <si>
    <t>3.3:2</t>
  </si>
  <si>
    <t>GDPE</t>
  </si>
  <si>
    <t>AgDPE</t>
  </si>
  <si>
    <t>AuDPE</t>
  </si>
  <si>
    <t>leaching stability</t>
  </si>
  <si>
    <t>100s</t>
  </si>
  <si>
    <t>14 h</t>
  </si>
  <si>
    <t>LOD</t>
  </si>
  <si>
    <t>Mean</t>
  </si>
  <si>
    <t>Ylod</t>
  </si>
  <si>
    <t xml:space="preserve">powierzchnia </t>
  </si>
  <si>
    <t>powierzchnia</t>
  </si>
  <si>
    <t>Temp</t>
  </si>
  <si>
    <t>LOQ</t>
  </si>
  <si>
    <t>y = 0.0108x + 0.0009_x000B_R² = 0.9974</t>
  </si>
  <si>
    <t>0.1-5</t>
  </si>
  <si>
    <t>y = 0.0108x + 0.0007_x000B_R² = 0.9974</t>
  </si>
  <si>
    <t>0.05-5</t>
  </si>
  <si>
    <t>R² = 0.9962</t>
  </si>
  <si>
    <t>y = 0.0119x + 0.0002_x000B_R² = 0.9945</t>
  </si>
  <si>
    <t>y = 0.0093x + 0.0004</t>
  </si>
  <si>
    <t>0.05-2</t>
  </si>
  <si>
    <t>R² = 0.9964</t>
  </si>
  <si>
    <t>y = 0.0073x + 0.0021</t>
  </si>
  <si>
    <t>y = 0.008x + 0.001_x000B_R² = 0.9949</t>
  </si>
  <si>
    <t>0.1-10</t>
  </si>
  <si>
    <t>c glukoza</t>
  </si>
  <si>
    <t>Srednia j</t>
  </si>
  <si>
    <t>SD I</t>
  </si>
  <si>
    <t>srednia I</t>
  </si>
  <si>
    <t>j5</t>
  </si>
  <si>
    <t>j4</t>
  </si>
  <si>
    <t>j1 / 1000/ESCA</t>
  </si>
  <si>
    <t>I5</t>
  </si>
  <si>
    <t>I4</t>
  </si>
  <si>
    <t>I1 (uA)</t>
  </si>
  <si>
    <t>nowa elektroda na stezenie</t>
  </si>
  <si>
    <t>AC pH 5</t>
  </si>
  <si>
    <t>ciagly pomiar</t>
  </si>
  <si>
    <t>zakres 0.1 mM - 30 mM</t>
  </si>
  <si>
    <t>PB pH 8</t>
  </si>
  <si>
    <t>1/i</t>
  </si>
  <si>
    <t>1/c</t>
  </si>
  <si>
    <t xml:space="preserve">mean </t>
  </si>
  <si>
    <t>mean</t>
  </si>
  <si>
    <t>i4</t>
  </si>
  <si>
    <t>i3</t>
  </si>
  <si>
    <t>i2</t>
  </si>
  <si>
    <t>nowa elektroda</t>
  </si>
  <si>
    <t>j6</t>
  </si>
  <si>
    <t>I6</t>
  </si>
  <si>
    <t>c (mM)</t>
  </si>
  <si>
    <t>ciagły pomiar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</si>
</sst>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sz val="11"/>
      <color rgb="FFFF0000"/>
      <name val="Calibri"/>
      <family val="2"/>
      <charset val="238"/>
      <scheme val="minor"/>
    </font>
    <font>
      <sz val="11"/>
      <color rgb="FFFF0000"/>
      <name val="Times New Roman"/>
      <family val="1"/>
    </font>
    <font>
      <sz val="9"/>
      <color rgb="FF595959"/>
      <name val="Calibri"/>
      <family val="2"/>
      <charset val="238"/>
      <scheme val="minor"/>
    </font>
    <font>
      <sz val="11"/>
      <color theme="7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/>
    <xf numFmtId="0" fontId="1" fillId="0" borderId="0" xfId="0" applyFont="1"/>
    <xf numFmtId="164" fontId="0" fillId="0" borderId="0" xfId="0" applyNumberFormat="1" applyFont="1"/>
    <xf numFmtId="0" fontId="0" fillId="0" borderId="0" xfId="0" quotePrefix="1" applyFont="1"/>
    <xf numFmtId="164" fontId="0" fillId="0" borderId="0" xfId="0" applyNumberFormat="1"/>
    <xf numFmtId="0" fontId="0" fillId="2" borderId="0" xfId="0" applyFill="1"/>
    <xf numFmtId="20" fontId="0" fillId="0" borderId="0" xfId="0" applyNumberFormat="1"/>
    <xf numFmtId="49" fontId="0" fillId="0" borderId="0" xfId="0" applyNumberFormat="1"/>
    <xf numFmtId="165" fontId="0" fillId="0" borderId="0" xfId="0" applyNumberFormat="1" applyFont="1"/>
    <xf numFmtId="164" fontId="1" fillId="0" borderId="0" xfId="0" applyNumberFormat="1" applyFont="1"/>
    <xf numFmtId="0" fontId="0" fillId="3" borderId="0" xfId="0" applyFill="1"/>
    <xf numFmtId="165" fontId="0" fillId="3" borderId="0" xfId="0" applyNumberFormat="1" applyFill="1"/>
    <xf numFmtId="0" fontId="0" fillId="3" borderId="0" xfId="0" applyFont="1" applyFill="1"/>
    <xf numFmtId="164" fontId="0" fillId="3" borderId="0" xfId="0" applyNumberFormat="1" applyFont="1" applyFill="1"/>
    <xf numFmtId="0" fontId="1" fillId="3" borderId="0" xfId="0" applyFont="1" applyFill="1"/>
    <xf numFmtId="164" fontId="1" fillId="3" borderId="0" xfId="0" applyNumberFormat="1" applyFont="1" applyFill="1"/>
    <xf numFmtId="0" fontId="0" fillId="5" borderId="0" xfId="0" quotePrefix="1" applyFont="1" applyFill="1"/>
    <xf numFmtId="0" fontId="0" fillId="5" borderId="0" xfId="0" applyFill="1"/>
    <xf numFmtId="165" fontId="0" fillId="0" borderId="0" xfId="0" applyNumberFormat="1"/>
    <xf numFmtId="164" fontId="0" fillId="2" borderId="0" xfId="0" applyNumberFormat="1" applyFill="1"/>
    <xf numFmtId="165" fontId="0" fillId="4" borderId="0" xfId="0" applyNumberFormat="1" applyFill="1"/>
    <xf numFmtId="165" fontId="0" fillId="0" borderId="0" xfId="0" applyNumberFormat="1" applyFill="1"/>
    <xf numFmtId="164" fontId="0" fillId="4" borderId="0" xfId="0" applyNumberFormat="1" applyFill="1"/>
    <xf numFmtId="164" fontId="0" fillId="0" borderId="0" xfId="0" applyNumberFormat="1" applyFill="1"/>
    <xf numFmtId="164" fontId="0" fillId="3" borderId="0" xfId="0" applyNumberFormat="1" applyFill="1"/>
    <xf numFmtId="1" fontId="0" fillId="4" borderId="0" xfId="0" applyNumberFormat="1" applyFill="1"/>
    <xf numFmtId="1" fontId="0" fillId="0" borderId="0" xfId="0" applyNumberFormat="1"/>
    <xf numFmtId="1" fontId="0" fillId="0" borderId="0" xfId="0" applyNumberFormat="1" applyFill="1"/>
    <xf numFmtId="1" fontId="0" fillId="3" borderId="0" xfId="0" applyNumberFormat="1" applyFill="1"/>
    <xf numFmtId="166" fontId="0" fillId="0" borderId="0" xfId="0" applyNumberFormat="1"/>
    <xf numFmtId="2" fontId="0" fillId="0" borderId="0" xfId="0" applyNumberFormat="1"/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center" vertical="center" readingOrder="1"/>
    </xf>
    <xf numFmtId="0" fontId="5" fillId="0" borderId="0" xfId="0" applyFont="1"/>
    <xf numFmtId="0" fontId="6" fillId="0" borderId="0" xfId="0" applyFont="1"/>
    <xf numFmtId="0" fontId="7" fillId="0" borderId="0" xfId="0" applyFont="1"/>
    <xf numFmtId="16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'dobór pH'!$S$8:$S$11</c:f>
                <c:numCache>
                  <c:formatCode>General</c:formatCode>
                  <c:ptCount val="4"/>
                  <c:pt idx="0">
                    <c:v>0.11831834184568434</c:v>
                  </c:pt>
                  <c:pt idx="1">
                    <c:v>0.15144602080668818</c:v>
                  </c:pt>
                  <c:pt idx="2">
                    <c:v>1.5106950839803193E-2</c:v>
                  </c:pt>
                  <c:pt idx="3">
                    <c:v>1.2082910605234188E-2</c:v>
                  </c:pt>
                </c:numCache>
              </c:numRef>
            </c:plus>
            <c:minus>
              <c:numRef>
                <c:f>'dobór pH'!$S$8:$S$11</c:f>
                <c:numCache>
                  <c:formatCode>General</c:formatCode>
                  <c:ptCount val="4"/>
                  <c:pt idx="0">
                    <c:v>0.11831834184568434</c:v>
                  </c:pt>
                  <c:pt idx="1">
                    <c:v>0.15144602080668818</c:v>
                  </c:pt>
                  <c:pt idx="2">
                    <c:v>1.5106950839803193E-2</c:v>
                  </c:pt>
                  <c:pt idx="3">
                    <c:v>1.2082910605234188E-2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'dobór pH'!$Q$8:$Q$11</c:f>
              <c:numCache>
                <c:formatCode>General</c:formatCode>
                <c:ptCount val="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</c:numCache>
            </c:numRef>
          </c:xVal>
          <c:yVal>
            <c:numRef>
              <c:f>'dobór pH'!$R$8:$R$11</c:f>
              <c:numCache>
                <c:formatCode>0.000</c:formatCode>
                <c:ptCount val="4"/>
                <c:pt idx="0">
                  <c:v>0.76989755713159969</c:v>
                </c:pt>
                <c:pt idx="1">
                  <c:v>0.652983738090121</c:v>
                </c:pt>
                <c:pt idx="2">
                  <c:v>0.93459416863672173</c:v>
                </c:pt>
                <c:pt idx="3">
                  <c:v>0.21756572820402606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BB-4EB9-A33A-06C0E60DC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5619744"/>
        <c:axId val="467753536"/>
      </c:scatterChart>
      <c:valAx>
        <c:axId val="455619744"/>
        <c:scaling>
          <c:orientation val="minMax"/>
          <c:min val="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100"/>
                  <a:t>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67753536"/>
        <c:crosses val="autoZero"/>
        <c:crossBetween val="midCat"/>
        <c:majorUnit val="1"/>
      </c:valAx>
      <c:valAx>
        <c:axId val="467753536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200" b="0" i="0" baseline="0">
                    <a:effectLst/>
                  </a:rPr>
                  <a:t>j (mA/cm</a:t>
                </a:r>
                <a:r>
                  <a:rPr lang="pl-PL" sz="1200" b="0" i="0" baseline="30000">
                    <a:effectLst/>
                  </a:rPr>
                  <a:t>2</a:t>
                </a:r>
                <a:r>
                  <a:rPr lang="pl-PL" sz="1200" b="0" i="0" baseline="0">
                    <a:effectLst/>
                  </a:rPr>
                  <a:t>)</a:t>
                </a:r>
                <a:endParaRPr lang="pl-PL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55619744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0" i="0" u="none" strike="noStrike" baseline="0">
                <a:effectLst/>
              </a:rPr>
              <a:t>stezenie TH</a:t>
            </a:r>
            <a:r>
              <a:rPr lang="pl-PL" sz="1400" b="0" i="0" u="none" strike="noStrike" baseline="0"/>
              <a:t> 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'stężenie TH i genipin'!$AB$9:$AB$13</c:f>
                <c:numCache>
                  <c:formatCode>General</c:formatCode>
                  <c:ptCount val="5"/>
                  <c:pt idx="0">
                    <c:v>1.5106950839803193E-2</c:v>
                  </c:pt>
                  <c:pt idx="1">
                    <c:v>2.0864300321896453E-2</c:v>
                  </c:pt>
                  <c:pt idx="2">
                    <c:v>6.0187572062028591E-3</c:v>
                  </c:pt>
                  <c:pt idx="3">
                    <c:v>8.5706739329159155E-3</c:v>
                  </c:pt>
                  <c:pt idx="4">
                    <c:v>2.5858127238760176E-3</c:v>
                  </c:pt>
                </c:numCache>
              </c:numRef>
            </c:plus>
            <c:minus>
              <c:numRef>
                <c:f>'stężenie TH i genipin'!$AB$9:$AB$13</c:f>
                <c:numCache>
                  <c:formatCode>General</c:formatCode>
                  <c:ptCount val="5"/>
                  <c:pt idx="0">
                    <c:v>1.5106950839803193E-2</c:v>
                  </c:pt>
                  <c:pt idx="1">
                    <c:v>2.0864300321896453E-2</c:v>
                  </c:pt>
                  <c:pt idx="2">
                    <c:v>6.0187572062028591E-3</c:v>
                  </c:pt>
                  <c:pt idx="3">
                    <c:v>8.5706739329159155E-3</c:v>
                  </c:pt>
                  <c:pt idx="4">
                    <c:v>2.5858127238760176E-3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'stężenie TH i genipin'!$Z$9:$Z$13</c:f>
              <c:numCache>
                <c:formatCode>General</c:formatCode>
                <c:ptCount val="5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0.5</c:v>
                </c:pt>
              </c:numCache>
            </c:numRef>
          </c:xVal>
          <c:yVal>
            <c:numRef>
              <c:f>'stężenie TH i genipin'!$AA$9:$AA$13</c:f>
              <c:numCache>
                <c:formatCode>0.000</c:formatCode>
                <c:ptCount val="5"/>
                <c:pt idx="0">
                  <c:v>0.93459416863672173</c:v>
                </c:pt>
                <c:pt idx="1">
                  <c:v>0.490221362561788</c:v>
                </c:pt>
                <c:pt idx="2">
                  <c:v>0.15871838956945339</c:v>
                </c:pt>
                <c:pt idx="3">
                  <c:v>3.8269216992621251E-2</c:v>
                </c:pt>
                <c:pt idx="4">
                  <c:v>1.4653628483415717E-2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E8F-48B4-A1E8-38C5D0189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3719535"/>
        <c:axId val="1458428479"/>
      </c:scatterChart>
      <c:valAx>
        <c:axId val="1623719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58428479"/>
        <c:crosses val="autoZero"/>
        <c:crossBetween val="midCat"/>
        <c:majorUnit val="1"/>
      </c:valAx>
      <c:valAx>
        <c:axId val="1458428479"/>
        <c:scaling>
          <c:orientation val="minMax"/>
          <c:max val="1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23719535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'stężenie TH i genipin'!$X$70:$X$72</c:f>
                <c:numCache>
                  <c:formatCode>General</c:formatCode>
                  <c:ptCount val="3"/>
                  <c:pt idx="0">
                    <c:v>3.4925658421389318E-2</c:v>
                  </c:pt>
                  <c:pt idx="1">
                    <c:v>5.3560414149015169E-2</c:v>
                  </c:pt>
                  <c:pt idx="2">
                    <c:v>0.14276530820227601</c:v>
                  </c:pt>
                </c:numCache>
              </c:numRef>
            </c:plus>
            <c:minus>
              <c:numRef>
                <c:f>'stężenie TH i genipin'!$X$70:$X$72</c:f>
                <c:numCache>
                  <c:formatCode>General</c:formatCode>
                  <c:ptCount val="3"/>
                  <c:pt idx="0">
                    <c:v>3.4925658421389318E-2</c:v>
                  </c:pt>
                  <c:pt idx="1">
                    <c:v>5.3560414149015169E-2</c:v>
                  </c:pt>
                  <c:pt idx="2">
                    <c:v>0.14276530820227601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'stężenie TH i genipin'!$W$70:$W$72</c:f>
              <c:numCache>
                <c:formatCode>General</c:formatCode>
                <c:ptCount val="3"/>
                <c:pt idx="0">
                  <c:v>0.91189196933877781</c:v>
                </c:pt>
                <c:pt idx="1">
                  <c:v>0.40847481911311706</c:v>
                </c:pt>
                <c:pt idx="2">
                  <c:v>0.44458055734651475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84-4357-9809-A99AEA3F9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972591"/>
        <c:axId val="256043983"/>
      </c:barChart>
      <c:catAx>
        <c:axId val="43097259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56043983"/>
        <c:crosses val="autoZero"/>
        <c:auto val="1"/>
        <c:lblAlgn val="ctr"/>
        <c:lblOffset val="100"/>
        <c:noMultiLvlLbl val="0"/>
      </c:catAx>
      <c:valAx>
        <c:axId val="256043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309725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genipin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'stężenie TH i genipin'!$X$70</c:f>
                <c:numCache>
                  <c:formatCode>General</c:formatCode>
                  <c:ptCount val="1"/>
                  <c:pt idx="0">
                    <c:v>3.4925658421389318E-2</c:v>
                  </c:pt>
                </c:numCache>
              </c:numRef>
            </c:plus>
            <c:minus>
              <c:numRef>
                <c:f>'stężenie TH i genipin'!$X$70</c:f>
                <c:numCache>
                  <c:formatCode>General</c:formatCode>
                  <c:ptCount val="1"/>
                  <c:pt idx="0">
                    <c:v>3.4925658421389318E-2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'stężenie TH i genipin'!$AL$80</c:f>
              <c:numCache>
                <c:formatCode>General</c:formatCode>
                <c:ptCount val="1"/>
              </c:numCache>
            </c:numRef>
          </c:cat>
          <c:val>
            <c:numRef>
              <c:f>'stężenie TH i genipin'!$W$70</c:f>
              <c:numCache>
                <c:formatCode>General</c:formatCode>
                <c:ptCount val="1"/>
                <c:pt idx="0">
                  <c:v>0.91189196933877781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08-4D05-BC74-14673DDAF105}"/>
            </c:ext>
          </c:extLst>
        </c:ser>
        <c:ser>
          <c:idx val="1"/>
          <c:order val="1"/>
          <c:tx>
            <c:v>BS3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'stężenie TH i genipin'!$X$6</c:f>
                <c:numCache>
                  <c:formatCode>General</c:formatCode>
                  <c:ptCount val="1"/>
                </c:numCache>
              </c:numRef>
            </c:plus>
            <c:minus>
              <c:numRef>
                <c:f>'stężenie TH i genipin'!$X$73</c:f>
                <c:numCache>
                  <c:formatCode>General</c:formatCode>
                  <c:ptCount val="1"/>
                  <c:pt idx="0">
                    <c:v>3.9168278529980727E-3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'stężenie TH i genipin'!$AL$80</c:f>
              <c:numCache>
                <c:formatCode>General</c:formatCode>
                <c:ptCount val="1"/>
              </c:numCache>
            </c:numRef>
          </c:cat>
          <c:val>
            <c:numRef>
              <c:f>'stężenie TH i genipin'!$W$73</c:f>
              <c:numCache>
                <c:formatCode>General</c:formatCode>
                <c:ptCount val="1"/>
                <c:pt idx="0">
                  <c:v>0.37066946056307759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08-4D05-BC74-14673DDAF105}"/>
            </c:ext>
          </c:extLst>
        </c:ser>
        <c:ser>
          <c:idx val="2"/>
          <c:order val="2"/>
          <c:tx>
            <c:v>GA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'stężenie TH i genipin'!$X$74</c:f>
                <c:numCache>
                  <c:formatCode>General</c:formatCode>
                  <c:ptCount val="1"/>
                  <c:pt idx="0">
                    <c:v>3.0942402750913423E-2</c:v>
                  </c:pt>
                </c:numCache>
              </c:numRef>
            </c:plus>
            <c:minus>
              <c:numRef>
                <c:f>'stężenie TH i genipin'!$X$74</c:f>
                <c:numCache>
                  <c:formatCode>General</c:formatCode>
                  <c:ptCount val="1"/>
                  <c:pt idx="0">
                    <c:v>3.0942402750913423E-2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'stężenie TH i genipin'!$AL$80</c:f>
              <c:numCache>
                <c:formatCode>General</c:formatCode>
                <c:ptCount val="1"/>
              </c:numCache>
            </c:numRef>
          </c:cat>
          <c:val>
            <c:numRef>
              <c:f>'stężenie TH i genipin'!$W$74</c:f>
              <c:numCache>
                <c:formatCode>General</c:formatCode>
                <c:ptCount val="1"/>
                <c:pt idx="0">
                  <c:v>0.34522351171287341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08-4D05-BC74-14673DDAF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978991"/>
        <c:axId val="527238687"/>
      </c:barChart>
      <c:catAx>
        <c:axId val="430978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27238687"/>
        <c:crosses val="autoZero"/>
        <c:auto val="1"/>
        <c:lblAlgn val="ctr"/>
        <c:lblOffset val="100"/>
        <c:noMultiLvlLbl val="0"/>
      </c:catAx>
      <c:valAx>
        <c:axId val="52723868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800" b="0" i="0" baseline="0">
                    <a:effectLst/>
                  </a:rPr>
                  <a:t>j (mA/cm</a:t>
                </a:r>
                <a:r>
                  <a:rPr lang="pl-PL" sz="1800" b="0" i="0" baseline="30000">
                    <a:effectLst/>
                  </a:rPr>
                  <a:t>2</a:t>
                </a:r>
                <a:r>
                  <a:rPr lang="pl-PL" sz="1800" b="0" i="0" baseline="0">
                    <a:effectLst/>
                  </a:rPr>
                  <a:t>)</a:t>
                </a:r>
                <a:endParaRPr lang="pl-PL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30978991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526421697287841"/>
          <c:y val="0.87066627777509342"/>
          <c:w val="0.54558267716535436"/>
          <c:h val="7.55848627129278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'stężenie TH i genipin'!$W$92:$W$98</c:f>
                <c:numCache>
                  <c:formatCode>General</c:formatCode>
                  <c:ptCount val="7"/>
                  <c:pt idx="0">
                    <c:v>4.7800522355839363E-2</c:v>
                  </c:pt>
                  <c:pt idx="1">
                    <c:v>5.325023538951288E-2</c:v>
                  </c:pt>
                  <c:pt idx="2">
                    <c:v>2.3222354568373006E-2</c:v>
                  </c:pt>
                  <c:pt idx="3">
                    <c:v>4.2108142451158528E-2</c:v>
                  </c:pt>
                  <c:pt idx="4">
                    <c:v>5.2017689423325603E-2</c:v>
                  </c:pt>
                  <c:pt idx="5">
                    <c:v>2.5494917644113244E-2</c:v>
                  </c:pt>
                  <c:pt idx="6">
                    <c:v>2.4162410864777689E-2</c:v>
                  </c:pt>
                </c:numCache>
              </c:numRef>
            </c:plus>
            <c:minus>
              <c:numRef>
                <c:f>'stężenie TH i genipin'!$W$92:$W$98</c:f>
                <c:numCache>
                  <c:formatCode>General</c:formatCode>
                  <c:ptCount val="7"/>
                  <c:pt idx="0">
                    <c:v>4.7800522355839363E-2</c:v>
                  </c:pt>
                  <c:pt idx="1">
                    <c:v>5.325023538951288E-2</c:v>
                  </c:pt>
                  <c:pt idx="2">
                    <c:v>2.3222354568373006E-2</c:v>
                  </c:pt>
                  <c:pt idx="3">
                    <c:v>4.2108142451158528E-2</c:v>
                  </c:pt>
                  <c:pt idx="4">
                    <c:v>5.2017689423325603E-2</c:v>
                  </c:pt>
                  <c:pt idx="5">
                    <c:v>2.5494917644113244E-2</c:v>
                  </c:pt>
                  <c:pt idx="6">
                    <c:v>2.4162410864777689E-2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'stężenie TH i genipin'!$U$92:$U$98</c:f>
              <c:numCache>
                <c:formatCode>General</c:formatCode>
                <c:ptCount val="7"/>
                <c:pt idx="0">
                  <c:v>6</c:v>
                </c:pt>
                <c:pt idx="1">
                  <c:v>4.5</c:v>
                </c:pt>
                <c:pt idx="2">
                  <c:v>3</c:v>
                </c:pt>
                <c:pt idx="3">
                  <c:v>1.5</c:v>
                </c:pt>
                <c:pt idx="4">
                  <c:v>0.75</c:v>
                </c:pt>
                <c:pt idx="5">
                  <c:v>0.375</c:v>
                </c:pt>
                <c:pt idx="6">
                  <c:v>0.1875</c:v>
                </c:pt>
              </c:numCache>
            </c:numRef>
          </c:xVal>
          <c:yVal>
            <c:numRef>
              <c:f>'stężenie TH i genipin'!$V$92:$V$98</c:f>
              <c:numCache>
                <c:formatCode>0.000</c:formatCode>
                <c:ptCount val="7"/>
                <c:pt idx="0">
                  <c:v>0.91875940253599819</c:v>
                </c:pt>
                <c:pt idx="1">
                  <c:v>0.94341822480120352</c:v>
                </c:pt>
                <c:pt idx="2">
                  <c:v>0.94230962103302518</c:v>
                </c:pt>
                <c:pt idx="3">
                  <c:v>0.8932624113475176</c:v>
                </c:pt>
                <c:pt idx="4">
                  <c:v>0.70027670320223523</c:v>
                </c:pt>
                <c:pt idx="5">
                  <c:v>0.46894834873558278</c:v>
                </c:pt>
                <c:pt idx="6">
                  <c:v>0.14938391002220788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448-498D-B71B-9347BCB1F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9012624"/>
        <c:axId val="439188064"/>
      </c:scatterChart>
      <c:valAx>
        <c:axId val="439012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200"/>
                  <a:t>cFADGDH</a:t>
                </a:r>
                <a:r>
                  <a:rPr lang="pl-PL" sz="1200" baseline="0"/>
                  <a:t> (mg/ml)</a:t>
                </a:r>
                <a:endParaRPr lang="pl-PL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39188064"/>
        <c:crosses val="autoZero"/>
        <c:crossBetween val="midCat"/>
      </c:valAx>
      <c:valAx>
        <c:axId val="439188064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400" b="0" i="0" baseline="0">
                    <a:effectLst/>
                  </a:rPr>
                  <a:t>j (mA/cm</a:t>
                </a:r>
                <a:r>
                  <a:rPr lang="pl-PL" sz="1400" b="0" i="0" baseline="30000">
                    <a:effectLst/>
                  </a:rPr>
                  <a:t>2</a:t>
                </a:r>
                <a:r>
                  <a:rPr lang="pl-PL" sz="1400" b="0" i="0" baseline="0">
                    <a:effectLst/>
                  </a:rPr>
                  <a:t>)</a:t>
                </a:r>
                <a:endParaRPr lang="pl-PL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1.3888888888888888E-2"/>
              <c:y val="0.301945361353311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39012624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stezenie</a:t>
            </a:r>
            <a:r>
              <a:rPr lang="pl-PL" baseline="0"/>
              <a:t> genipin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'stężenie TH i genipin'!$T$43:$T$47</c:f>
                <c:numCache>
                  <c:formatCode>General</c:formatCode>
                  <c:ptCount val="5"/>
                  <c:pt idx="0">
                    <c:v>1.0131195374834074E-2</c:v>
                  </c:pt>
                  <c:pt idx="1">
                    <c:v>4.1172138134173072E-2</c:v>
                  </c:pt>
                  <c:pt idx="2">
                    <c:v>6.7428441583155252E-2</c:v>
                  </c:pt>
                  <c:pt idx="3">
                    <c:v>5.3609246891236972E-2</c:v>
                  </c:pt>
                  <c:pt idx="4">
                    <c:v>3.0739168724900501E-2</c:v>
                  </c:pt>
                </c:numCache>
              </c:numRef>
            </c:plus>
            <c:minus>
              <c:numRef>
                <c:f>'stężenie TH i genipin'!$T$43:$T$47</c:f>
                <c:numCache>
                  <c:formatCode>General</c:formatCode>
                  <c:ptCount val="5"/>
                  <c:pt idx="0">
                    <c:v>1.0131195374834074E-2</c:v>
                  </c:pt>
                  <c:pt idx="1">
                    <c:v>4.1172138134173072E-2</c:v>
                  </c:pt>
                  <c:pt idx="2">
                    <c:v>6.7428441583155252E-2</c:v>
                  </c:pt>
                  <c:pt idx="3">
                    <c:v>5.3609246891236972E-2</c:v>
                  </c:pt>
                  <c:pt idx="4">
                    <c:v>3.0739168724900501E-2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'stężenie TH i genipin'!$R$43:$R$47</c:f>
              <c:numCache>
                <c:formatCode>General</c:formatCode>
                <c:ptCount val="5"/>
                <c:pt idx="0">
                  <c:v>24</c:v>
                </c:pt>
                <c:pt idx="1">
                  <c:v>20</c:v>
                </c:pt>
                <c:pt idx="2">
                  <c:v>16</c:v>
                </c:pt>
                <c:pt idx="3">
                  <c:v>12</c:v>
                </c:pt>
                <c:pt idx="4">
                  <c:v>6</c:v>
                </c:pt>
              </c:numCache>
            </c:numRef>
          </c:xVal>
          <c:yVal>
            <c:numRef>
              <c:f>'stężenie TH i genipin'!$S$43:$S$47</c:f>
              <c:numCache>
                <c:formatCode>0.000</c:formatCode>
                <c:ptCount val="5"/>
                <c:pt idx="0">
                  <c:v>0.92771688516369366</c:v>
                </c:pt>
                <c:pt idx="1">
                  <c:v>0.66593595529765748</c:v>
                </c:pt>
                <c:pt idx="2">
                  <c:v>0.57457912457912463</c:v>
                </c:pt>
                <c:pt idx="3">
                  <c:v>0.50863242352604054</c:v>
                </c:pt>
                <c:pt idx="4">
                  <c:v>0.11885521885521884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FAE-448A-A60B-DD8760F7B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1047295"/>
        <c:axId val="1620981007"/>
      </c:scatterChart>
      <c:valAx>
        <c:axId val="1401047295"/>
        <c:scaling>
          <c:orientation val="minMax"/>
          <c:max val="25"/>
          <c:min val="5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20981007"/>
        <c:crosses val="autoZero"/>
        <c:crossBetween val="midCat"/>
      </c:valAx>
      <c:valAx>
        <c:axId val="1620981007"/>
        <c:scaling>
          <c:orientation val="minMax"/>
          <c:max val="1"/>
          <c:min val="0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01047295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0" i="0" u="none" strike="noStrike" baseline="0">
                <a:effectLst/>
              </a:rPr>
              <a:t>stezenie TH</a:t>
            </a:r>
            <a:r>
              <a:rPr lang="pl-PL" sz="1400" b="0" i="0" u="none" strike="noStrike" baseline="0"/>
              <a:t> 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'stężenie TH i genipin'!$AB$9:$AB$13</c:f>
                <c:numCache>
                  <c:formatCode>General</c:formatCode>
                  <c:ptCount val="5"/>
                  <c:pt idx="0">
                    <c:v>1.5106950839803193E-2</c:v>
                  </c:pt>
                  <c:pt idx="1">
                    <c:v>2.0864300321896453E-2</c:v>
                  </c:pt>
                  <c:pt idx="2">
                    <c:v>6.0187572062028591E-3</c:v>
                  </c:pt>
                  <c:pt idx="3">
                    <c:v>8.5706739329159155E-3</c:v>
                  </c:pt>
                  <c:pt idx="4">
                    <c:v>2.5858127238760176E-3</c:v>
                  </c:pt>
                </c:numCache>
              </c:numRef>
            </c:plus>
            <c:minus>
              <c:numRef>
                <c:f>'stężenie TH i genipin'!$AB$9:$AB$13</c:f>
                <c:numCache>
                  <c:formatCode>General</c:formatCode>
                  <c:ptCount val="5"/>
                  <c:pt idx="0">
                    <c:v>1.5106950839803193E-2</c:v>
                  </c:pt>
                  <c:pt idx="1">
                    <c:v>2.0864300321896453E-2</c:v>
                  </c:pt>
                  <c:pt idx="2">
                    <c:v>6.0187572062028591E-3</c:v>
                  </c:pt>
                  <c:pt idx="3">
                    <c:v>8.5706739329159155E-3</c:v>
                  </c:pt>
                  <c:pt idx="4">
                    <c:v>2.5858127238760176E-3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'stężenie TH i genipin'!$Y$9:$Y$13</c:f>
              <c:numCache>
                <c:formatCode>General</c:formatCode>
                <c:ptCount val="5"/>
                <c:pt idx="0">
                  <c:v>3</c:v>
                </c:pt>
                <c:pt idx="1">
                  <c:v>2.25</c:v>
                </c:pt>
                <c:pt idx="2">
                  <c:v>1.5</c:v>
                </c:pt>
                <c:pt idx="3">
                  <c:v>0.75</c:v>
                </c:pt>
                <c:pt idx="4">
                  <c:v>0.375</c:v>
                </c:pt>
              </c:numCache>
            </c:numRef>
          </c:xVal>
          <c:yVal>
            <c:numRef>
              <c:f>'stężenie TH i genipin'!$AA$9:$AA$13</c:f>
              <c:numCache>
                <c:formatCode>0.000</c:formatCode>
                <c:ptCount val="5"/>
                <c:pt idx="0">
                  <c:v>0.93459416863672173</c:v>
                </c:pt>
                <c:pt idx="1">
                  <c:v>0.490221362561788</c:v>
                </c:pt>
                <c:pt idx="2">
                  <c:v>0.15871838956945339</c:v>
                </c:pt>
                <c:pt idx="3">
                  <c:v>3.8269216992621251E-2</c:v>
                </c:pt>
                <c:pt idx="4">
                  <c:v>1.4653628483415717E-2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72D-49A2-8711-F1173DB44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3719535"/>
        <c:axId val="1458428479"/>
      </c:scatterChart>
      <c:valAx>
        <c:axId val="1623719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58428479"/>
        <c:crosses val="autoZero"/>
        <c:crossBetween val="midCat"/>
        <c:majorUnit val="1"/>
      </c:valAx>
      <c:valAx>
        <c:axId val="1458428479"/>
        <c:scaling>
          <c:orientation val="minMax"/>
          <c:max val="1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23719535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21981627296586"/>
          <c:y val="0.16245370370370371"/>
          <c:w val="0.86878018372703403"/>
          <c:h val="0.72088764946048411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'Ag, Au, Graphite'!$X$11:$X$13</c:f>
                <c:numCache>
                  <c:formatCode>General</c:formatCode>
                  <c:ptCount val="3"/>
                  <c:pt idx="0">
                    <c:v>2.3222354568373006E-2</c:v>
                  </c:pt>
                  <c:pt idx="1">
                    <c:v>6.9822026779775406E-2</c:v>
                  </c:pt>
                  <c:pt idx="2">
                    <c:v>7.7610912844522137E-2</c:v>
                  </c:pt>
                </c:numCache>
              </c:numRef>
            </c:plus>
            <c:minus>
              <c:numRef>
                <c:f>'Ag, Au, Graphite'!$X$11:$X$13</c:f>
                <c:numCache>
                  <c:formatCode>General</c:formatCode>
                  <c:ptCount val="3"/>
                  <c:pt idx="0">
                    <c:v>2.3222354568373006E-2</c:v>
                  </c:pt>
                  <c:pt idx="1">
                    <c:v>6.9822026779775406E-2</c:v>
                  </c:pt>
                  <c:pt idx="2">
                    <c:v>7.7610912844522137E-2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'Ag, Au, Graphite'!$W$11:$W$13</c:f>
              <c:numCache>
                <c:formatCode>0.000</c:formatCode>
                <c:ptCount val="3"/>
                <c:pt idx="0" formatCode="General">
                  <c:v>0.94230962103302518</c:v>
                </c:pt>
                <c:pt idx="1">
                  <c:v>0.56185361972951464</c:v>
                </c:pt>
                <c:pt idx="2">
                  <c:v>0.43984468339307048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DB-4673-B345-95A6AAEA2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4854832"/>
        <c:axId val="13332912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'Ag, Au, Graphite'!$V$11:$V$13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7DB-4673-B345-95A6AAEA267C}"/>
                  </c:ext>
                </c:extLst>
              </c15:ser>
            </c15:filteredBarSeries>
          </c:ext>
        </c:extLst>
      </c:barChart>
      <c:catAx>
        <c:axId val="1334854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1333291296"/>
        <c:crosses val="autoZero"/>
        <c:auto val="1"/>
        <c:lblAlgn val="ctr"/>
        <c:lblOffset val="100"/>
        <c:noMultiLvlLbl val="0"/>
      </c:catAx>
      <c:valAx>
        <c:axId val="13332912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200" b="0" i="0" baseline="0">
                    <a:effectLst/>
                  </a:rPr>
                  <a:t>j (mA/cm</a:t>
                </a:r>
                <a:r>
                  <a:rPr lang="pl-PL" sz="1200" b="0" i="0" baseline="30000">
                    <a:effectLst/>
                  </a:rPr>
                  <a:t>2</a:t>
                </a:r>
                <a:r>
                  <a:rPr lang="pl-PL" sz="1200" b="0" i="0" baseline="0">
                    <a:effectLst/>
                  </a:rPr>
                  <a:t>)</a:t>
                </a:r>
                <a:endParaRPr lang="pl-PL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3485483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12786501635171"/>
          <c:y val="2.8186536358916901E-2"/>
          <c:w val="0.87835116296783167"/>
          <c:h val="0.85803387912717377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'stabilność 7 dni'!$J$3:$J$6</c:f>
                <c:numCache>
                  <c:formatCode>General</c:formatCode>
                  <c:ptCount val="4"/>
                  <c:pt idx="0">
                    <c:v>2.0498452258655996E-2</c:v>
                  </c:pt>
                  <c:pt idx="1">
                    <c:v>4.1031435075335548E-2</c:v>
                  </c:pt>
                  <c:pt idx="2">
                    <c:v>4.2057095132237265E-2</c:v>
                  </c:pt>
                  <c:pt idx="3">
                    <c:v>4.1475175863169143E-2</c:v>
                  </c:pt>
                </c:numCache>
              </c:numRef>
            </c:plus>
            <c:minus>
              <c:numRef>
                <c:f>'stabilność 7 dni'!$J$3:$J$6</c:f>
                <c:numCache>
                  <c:formatCode>General</c:formatCode>
                  <c:ptCount val="4"/>
                  <c:pt idx="0">
                    <c:v>2.0498452258655996E-2</c:v>
                  </c:pt>
                  <c:pt idx="1">
                    <c:v>4.1031435075335548E-2</c:v>
                  </c:pt>
                  <c:pt idx="2">
                    <c:v>4.2057095132237265E-2</c:v>
                  </c:pt>
                  <c:pt idx="3">
                    <c:v>4.1475175863169143E-2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'stabilność 7 dni'!$A$3:$A$6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</c:numCache>
            </c:numRef>
          </c:xVal>
          <c:yVal>
            <c:numRef>
              <c:f>'stabilność 7 dni'!$K$3:$K$6</c:f>
              <c:numCache>
                <c:formatCode>General</c:formatCode>
                <c:ptCount val="4"/>
                <c:pt idx="0">
                  <c:v>1</c:v>
                </c:pt>
                <c:pt idx="1">
                  <c:v>0.98094757508809571</c:v>
                </c:pt>
                <c:pt idx="2">
                  <c:v>0.7857142857142857</c:v>
                </c:pt>
                <c:pt idx="3">
                  <c:v>0.82602629938555594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FCB-4FC7-B8F5-790477014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077712"/>
        <c:axId val="1785273504"/>
      </c:scatterChart>
      <c:valAx>
        <c:axId val="1785077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85273504"/>
        <c:crosses val="autoZero"/>
        <c:crossBetween val="midCat"/>
      </c:valAx>
      <c:valAx>
        <c:axId val="17852735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800" b="0" i="0" baseline="0">
                    <a:effectLst/>
                  </a:rPr>
                  <a:t>j% (mA/cm</a:t>
                </a:r>
                <a:r>
                  <a:rPr lang="pl-PL" sz="1800" b="0" i="0" baseline="30000">
                    <a:effectLst/>
                  </a:rPr>
                  <a:t>2</a:t>
                </a:r>
                <a:r>
                  <a:rPr lang="pl-PL" sz="1800" b="0" i="0" baseline="0">
                    <a:effectLst/>
                  </a:rPr>
                  <a:t>)</a:t>
                </a:r>
                <a:endParaRPr lang="pl-PL">
                  <a:effectLst/>
                </a:endParaRPr>
              </a:p>
            </c:rich>
          </c:tx>
          <c:layout>
            <c:manualLayout>
              <c:xMode val="edge"/>
              <c:yMode val="edge"/>
              <c:x val="1.4262693652559269E-2"/>
              <c:y val="0.315264895938818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85077712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23261925650851"/>
          <c:y val="2.4908380091880615E-2"/>
          <c:w val="0.87835116296783167"/>
          <c:h val="0.85803387912717377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'stabilność 7 dni'!$J$3:$J$6</c:f>
                <c:numCache>
                  <c:formatCode>General</c:formatCode>
                  <c:ptCount val="4"/>
                  <c:pt idx="0">
                    <c:v>2.0498452258655996E-2</c:v>
                  </c:pt>
                  <c:pt idx="1">
                    <c:v>4.1031435075335548E-2</c:v>
                  </c:pt>
                  <c:pt idx="2">
                    <c:v>4.2057095132237265E-2</c:v>
                  </c:pt>
                  <c:pt idx="3">
                    <c:v>4.1475175863169143E-2</c:v>
                  </c:pt>
                </c:numCache>
              </c:numRef>
            </c:plus>
            <c:minus>
              <c:numRef>
                <c:f>'stabilność 7 dni'!$J$3:$J$6</c:f>
                <c:numCache>
                  <c:formatCode>General</c:formatCode>
                  <c:ptCount val="4"/>
                  <c:pt idx="0">
                    <c:v>2.0498452258655996E-2</c:v>
                  </c:pt>
                  <c:pt idx="1">
                    <c:v>4.1031435075335548E-2</c:v>
                  </c:pt>
                  <c:pt idx="2">
                    <c:v>4.2057095132237265E-2</c:v>
                  </c:pt>
                  <c:pt idx="3">
                    <c:v>4.1475175863169143E-2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'stabilność 7 dni'!$B$10:$B$16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'stabilność 7 dni'!$I$10:$I$16</c:f>
              <c:numCache>
                <c:formatCode>General</c:formatCode>
                <c:ptCount val="7"/>
                <c:pt idx="0">
                  <c:v>0.90401533061107531</c:v>
                </c:pt>
                <c:pt idx="1">
                  <c:v>0.91583566158034246</c:v>
                </c:pt>
                <c:pt idx="2">
                  <c:v>0.82456479690522244</c:v>
                </c:pt>
                <c:pt idx="3">
                  <c:v>0.86840389712730148</c:v>
                </c:pt>
                <c:pt idx="4">
                  <c:v>0.73624185113546814</c:v>
                </c:pt>
                <c:pt idx="5">
                  <c:v>0.72249086610788726</c:v>
                </c:pt>
                <c:pt idx="6">
                  <c:v>0.62575041192062464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D5-4AB3-ADC1-179BD8964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077712"/>
        <c:axId val="1785273504"/>
      </c:scatterChart>
      <c:valAx>
        <c:axId val="1785077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85273504"/>
        <c:crosses val="autoZero"/>
        <c:crossBetween val="midCat"/>
      </c:valAx>
      <c:valAx>
        <c:axId val="17852735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800" b="0" i="0" baseline="0">
                    <a:effectLst/>
                  </a:rPr>
                  <a:t>j% (mA/cm</a:t>
                </a:r>
                <a:r>
                  <a:rPr lang="pl-PL" sz="1800" b="0" i="0" baseline="30000">
                    <a:effectLst/>
                  </a:rPr>
                  <a:t>2</a:t>
                </a:r>
                <a:r>
                  <a:rPr lang="pl-PL" sz="1800" b="0" i="0" baseline="0">
                    <a:effectLst/>
                  </a:rPr>
                  <a:t>)</a:t>
                </a:r>
                <a:endParaRPr lang="pl-PL">
                  <a:effectLst/>
                </a:endParaRPr>
              </a:p>
            </c:rich>
          </c:tx>
          <c:layout>
            <c:manualLayout>
              <c:xMode val="edge"/>
              <c:yMode val="edge"/>
              <c:x val="1.4262693652559269E-2"/>
              <c:y val="0.315264895938818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85077712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23261925650851"/>
          <c:y val="2.4908380091880615E-2"/>
          <c:w val="0.87835116296783167"/>
          <c:h val="0.85803387912717377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'stabilność 7 dni'!$AB$35:$AB$41</c:f>
                <c:numCache>
                  <c:formatCode>General</c:formatCode>
                  <c:ptCount val="7"/>
                  <c:pt idx="0">
                    <c:v>8.6937935685585267E-3</c:v>
                  </c:pt>
                  <c:pt idx="1">
                    <c:v>2.7557213179067949E-2</c:v>
                  </c:pt>
                  <c:pt idx="2">
                    <c:v>1.0161922284950707E-2</c:v>
                  </c:pt>
                  <c:pt idx="3">
                    <c:v>2.4653967313463865E-2</c:v>
                  </c:pt>
                  <c:pt idx="4">
                    <c:v>5.459930234375994E-2</c:v>
                  </c:pt>
                  <c:pt idx="5">
                    <c:v>2.046014094677924E-2</c:v>
                  </c:pt>
                  <c:pt idx="6">
                    <c:v>3.0965558641671727E-2</c:v>
                  </c:pt>
                </c:numCache>
              </c:numRef>
            </c:plus>
            <c:minus>
              <c:numRef>
                <c:f>'stabilność 7 dni'!$AB$35:$AB$41</c:f>
                <c:numCache>
                  <c:formatCode>General</c:formatCode>
                  <c:ptCount val="7"/>
                  <c:pt idx="0">
                    <c:v>8.6937935685585267E-3</c:v>
                  </c:pt>
                  <c:pt idx="1">
                    <c:v>2.7557213179067949E-2</c:v>
                  </c:pt>
                  <c:pt idx="2">
                    <c:v>1.0161922284950707E-2</c:v>
                  </c:pt>
                  <c:pt idx="3">
                    <c:v>2.4653967313463865E-2</c:v>
                  </c:pt>
                  <c:pt idx="4">
                    <c:v>5.459930234375994E-2</c:v>
                  </c:pt>
                  <c:pt idx="5">
                    <c:v>2.046014094677924E-2</c:v>
                  </c:pt>
                  <c:pt idx="6">
                    <c:v>3.0965558641671727E-2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'stabilność 7 dni'!$T$35:$T$41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'stabilność 7 dni'!$AC$35:$AC$41</c:f>
              <c:numCache>
                <c:formatCode>General</c:formatCode>
                <c:ptCount val="7"/>
                <c:pt idx="0">
                  <c:v>1</c:v>
                </c:pt>
                <c:pt idx="1">
                  <c:v>1.0130753656149583</c:v>
                </c:pt>
                <c:pt idx="2">
                  <c:v>0.94598289108220435</c:v>
                </c:pt>
                <c:pt idx="3">
                  <c:v>0.9606074894109351</c:v>
                </c:pt>
                <c:pt idx="4">
                  <c:v>0.81441301513968845</c:v>
                </c:pt>
                <c:pt idx="5">
                  <c:v>0.82363312901423613</c:v>
                </c:pt>
                <c:pt idx="6">
                  <c:v>0.6921900444958653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952-4600-8C37-AA2F714AA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077712"/>
        <c:axId val="1785273504"/>
      </c:scatterChart>
      <c:valAx>
        <c:axId val="1785077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85273504"/>
        <c:crosses val="autoZero"/>
        <c:crossBetween val="midCat"/>
      </c:valAx>
      <c:valAx>
        <c:axId val="17852735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400" b="0" i="0" baseline="0">
                    <a:effectLst/>
                  </a:rPr>
                  <a:t>j% (mA/cm</a:t>
                </a:r>
                <a:r>
                  <a:rPr lang="pl-PL" sz="1400" b="0" i="0" baseline="30000">
                    <a:effectLst/>
                  </a:rPr>
                  <a:t>2</a:t>
                </a:r>
                <a:r>
                  <a:rPr lang="pl-PL" sz="1400" b="0" i="0" baseline="0">
                    <a:effectLst/>
                  </a:rPr>
                  <a:t>)</a:t>
                </a:r>
                <a:endParaRPr lang="pl-PL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1.4262693652559269E-2"/>
              <c:y val="0.315264895938818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85077712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'dobór pH'!$S$37:$S$40</c:f>
                <c:numCache>
                  <c:formatCode>General</c:formatCode>
                  <c:ptCount val="4"/>
                  <c:pt idx="0">
                    <c:v>4.0967694263198878E-2</c:v>
                  </c:pt>
                  <c:pt idx="1">
                    <c:v>5.4861779376858457E-3</c:v>
                  </c:pt>
                  <c:pt idx="2">
                    <c:v>2.1287341500107471E-2</c:v>
                  </c:pt>
                  <c:pt idx="3">
                    <c:v>3.4925658421389318E-2</c:v>
                  </c:pt>
                </c:numCache>
              </c:numRef>
            </c:plus>
            <c:minus>
              <c:numRef>
                <c:f>'dobór pH'!$S$37:$S$40</c:f>
                <c:numCache>
                  <c:formatCode>General</c:formatCode>
                  <c:ptCount val="4"/>
                  <c:pt idx="0">
                    <c:v>4.0967694263198878E-2</c:v>
                  </c:pt>
                  <c:pt idx="1">
                    <c:v>5.4861779376858457E-3</c:v>
                  </c:pt>
                  <c:pt idx="2">
                    <c:v>2.1287341500107471E-2</c:v>
                  </c:pt>
                  <c:pt idx="3">
                    <c:v>3.4925658421389318E-2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'dobór pH'!$Q$37:$Q$40</c:f>
              <c:numCache>
                <c:formatCode>0</c:formatCode>
                <c:ptCount val="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</c:numCache>
            </c:numRef>
          </c:xVal>
          <c:yVal>
            <c:numRef>
              <c:f>'dobór pH'!$R$37:$R$40</c:f>
              <c:numCache>
                <c:formatCode>0.000</c:formatCode>
                <c:ptCount val="4"/>
                <c:pt idx="0">
                  <c:v>0.86133677197506986</c:v>
                </c:pt>
                <c:pt idx="1">
                  <c:v>0.45178737731929219</c:v>
                </c:pt>
                <c:pt idx="2">
                  <c:v>0.63931871910595317</c:v>
                </c:pt>
                <c:pt idx="3">
                  <c:v>0.91189196933877781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BA7-411C-BFFF-147DC129E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5619744"/>
        <c:axId val="467753536"/>
      </c:scatterChart>
      <c:valAx>
        <c:axId val="455619744"/>
        <c:scaling>
          <c:orientation val="minMax"/>
          <c:min val="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200"/>
                  <a:t>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67753536"/>
        <c:crosses val="autoZero"/>
        <c:crossBetween val="midCat"/>
        <c:majorUnit val="1"/>
      </c:valAx>
      <c:valAx>
        <c:axId val="467753536"/>
        <c:scaling>
          <c:orientation val="minMax"/>
          <c:min val="0.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400" b="0" i="0" baseline="0">
                    <a:effectLst/>
                  </a:rPr>
                  <a:t>j (mA/cm</a:t>
                </a:r>
                <a:r>
                  <a:rPr lang="pl-PL" sz="1400" b="0" i="0" baseline="30000">
                    <a:effectLst/>
                  </a:rPr>
                  <a:t>2</a:t>
                </a:r>
                <a:r>
                  <a:rPr lang="pl-PL" sz="1400" b="0" i="0" baseline="0">
                    <a:effectLst/>
                  </a:rPr>
                  <a:t>)</a:t>
                </a:r>
                <a:endParaRPr lang="pl-PL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2.7777777777777779E-3"/>
              <c:y val="0.30624285348105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55619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9.7194311289372101E-2"/>
                  <c:y val="0.2113726608908730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'krzywa kalibracyjna'!$O$23:$O$28</c:f>
                <c:numCache>
                  <c:formatCode>General</c:formatCode>
                  <c:ptCount val="6"/>
                  <c:pt idx="0">
                    <c:v>2.8549035867926404E-5</c:v>
                  </c:pt>
                  <c:pt idx="1">
                    <c:v>7.1817242122513926E-5</c:v>
                  </c:pt>
                  <c:pt idx="2">
                    <c:v>2.5569981083995602E-4</c:v>
                  </c:pt>
                  <c:pt idx="3">
                    <c:v>3.566482968090586E-4</c:v>
                  </c:pt>
                  <c:pt idx="4">
                    <c:v>5.258715021883725E-4</c:v>
                  </c:pt>
                  <c:pt idx="5">
                    <c:v>1.5382085351171458E-3</c:v>
                  </c:pt>
                </c:numCache>
              </c:numRef>
            </c:plus>
            <c:minus>
              <c:numRef>
                <c:f>'krzywa kalibracyjna'!$O$23:$O$28</c:f>
                <c:numCache>
                  <c:formatCode>General</c:formatCode>
                  <c:ptCount val="6"/>
                  <c:pt idx="0">
                    <c:v>2.8549035867926404E-5</c:v>
                  </c:pt>
                  <c:pt idx="1">
                    <c:v>7.1817242122513926E-5</c:v>
                  </c:pt>
                  <c:pt idx="2">
                    <c:v>2.5569981083995602E-4</c:v>
                  </c:pt>
                  <c:pt idx="3">
                    <c:v>3.566482968090586E-4</c:v>
                  </c:pt>
                  <c:pt idx="4">
                    <c:v>5.258715021883725E-4</c:v>
                  </c:pt>
                  <c:pt idx="5">
                    <c:v>1.5382085351171458E-3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'krzywa kalibracyjna'!$A$23:$A$28</c:f>
              <c:numCache>
                <c:formatCode>General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0.2</c:v>
                </c:pt>
                <c:pt idx="3">
                  <c:v>0.5</c:v>
                </c:pt>
                <c:pt idx="4">
                  <c:v>1</c:v>
                </c:pt>
                <c:pt idx="5">
                  <c:v>2</c:v>
                </c:pt>
              </c:numCache>
            </c:numRef>
          </c:xVal>
          <c:yVal>
            <c:numRef>
              <c:f>'krzywa kalibracyjna'!$N$23:$N$28</c:f>
              <c:numCache>
                <c:formatCode>General</c:formatCode>
                <c:ptCount val="6"/>
                <c:pt idx="0">
                  <c:v>5.6457661723619164E-4</c:v>
                </c:pt>
                <c:pt idx="1">
                  <c:v>1.353965183752418E-3</c:v>
                </c:pt>
                <c:pt idx="2">
                  <c:v>3.0303030303030303E-3</c:v>
                </c:pt>
                <c:pt idx="3">
                  <c:v>6.5620746471810295E-3</c:v>
                </c:pt>
                <c:pt idx="4">
                  <c:v>1.0795902285263987E-2</c:v>
                </c:pt>
                <c:pt idx="5">
                  <c:v>2.4349881796690311E-2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E2A-4764-B2C2-A6F14F6B4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5072352"/>
        <c:axId val="1671868016"/>
      </c:scatterChart>
      <c:valAx>
        <c:axId val="1575072352"/>
        <c:scaling>
          <c:orientation val="minMax"/>
          <c:max val="5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1868016"/>
        <c:crosses val="autoZero"/>
        <c:crossBetween val="midCat"/>
      </c:valAx>
      <c:valAx>
        <c:axId val="1671868016"/>
        <c:scaling>
          <c:orientation val="minMax"/>
          <c:max val="6.0000000000000012E-2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575072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6.2275648513746028E-2"/>
          <c:y val="0.10065523338034724"/>
          <c:w val="0.90516180744445363"/>
          <c:h val="0.7973703648127902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5.9425118072936017E-2"/>
                  <c:y val="-5.1506114390071213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'krzywa kalibracyjna'!$AA$24:$AA$29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</c:numCache>
              </c:numRef>
            </c:plus>
            <c:minus>
              <c:numRef>
                <c:f>'krzywa kalibracyjna'!$AA$24:$AA$29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'krzywa kalibracyjna'!$S$24:$S$29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xVal>
          <c:yVal>
            <c:numRef>
              <c:f>'krzywa kalibracyjna'!$Z$24:$Z$29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096-48D0-9636-1263FED9A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3525216"/>
        <c:axId val="1721084336"/>
      </c:scatterChart>
      <c:valAx>
        <c:axId val="172352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21084336"/>
        <c:crosses val="autoZero"/>
        <c:crossBetween val="midCat"/>
      </c:valAx>
      <c:valAx>
        <c:axId val="1721084336"/>
        <c:scaling>
          <c:orientation val="minMax"/>
          <c:max val="2.2000000000000006E-2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7235252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</c:trendlineLbl>
          </c:trendline>
          <c:xVal>
            <c:numRef>
              <c:f>'krzywa kalibracyjna'!$S$5:$S$14</c:f>
              <c:numCache>
                <c:formatCode>General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30</c:v>
                </c:pt>
              </c:numCache>
            </c:numRef>
          </c:xVal>
          <c:yVal>
            <c:numRef>
              <c:f>'krzywa kalibracyjna'!$Z$5:$Z$14</c:f>
              <c:numCache>
                <c:formatCode>General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67-4D05-86A8-6DC3302A6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0553392"/>
        <c:axId val="1849342368"/>
      </c:scatterChart>
      <c:valAx>
        <c:axId val="1850553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49342368"/>
        <c:crosses val="autoZero"/>
        <c:crossBetween val="midCat"/>
      </c:valAx>
      <c:valAx>
        <c:axId val="184934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50553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3896701566863727E-2"/>
          <c:y val="0.15520561878719366"/>
          <c:w val="0.88492668378678052"/>
          <c:h val="0.7477196576825864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2569318442111669"/>
                  <c:y val="6.700926866330617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</c:trendlineLbl>
          </c:trendline>
          <c:xVal>
            <c:numRef>
              <c:f>'krzywa kalibracyjna'!$A$6:$A$12</c:f>
              <c:numCache>
                <c:formatCode>General</c:formatCode>
                <c:ptCount val="7"/>
                <c:pt idx="0">
                  <c:v>0.2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5</c:v>
                </c:pt>
                <c:pt idx="5">
                  <c:v>10</c:v>
                </c:pt>
                <c:pt idx="6">
                  <c:v>15</c:v>
                </c:pt>
              </c:numCache>
            </c:numRef>
          </c:xVal>
          <c:yVal>
            <c:numRef>
              <c:f>'krzywa kalibracyjna'!$N$6:$N$12</c:f>
              <c:numCache>
                <c:formatCode>General</c:formatCode>
                <c:ptCount val="7"/>
                <c:pt idx="0">
                  <c:v>3.9920481409843117E-3</c:v>
                </c:pt>
                <c:pt idx="1">
                  <c:v>9.9254960957088616E-3</c:v>
                </c:pt>
                <c:pt idx="2">
                  <c:v>1.658070062325381E-2</c:v>
                </c:pt>
                <c:pt idx="3">
                  <c:v>3.6209613869188334E-2</c:v>
                </c:pt>
                <c:pt idx="4">
                  <c:v>7.5746830002149143E-2</c:v>
                </c:pt>
                <c:pt idx="5">
                  <c:v>0.14991761587506269</c:v>
                </c:pt>
                <c:pt idx="6">
                  <c:v>0.20761515867898847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6FA-471B-AD64-90BFA6033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8562784"/>
        <c:axId val="1389608192"/>
      </c:scatterChart>
      <c:valAx>
        <c:axId val="1558562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89608192"/>
        <c:crosses val="autoZero"/>
        <c:crossBetween val="midCat"/>
      </c:valAx>
      <c:valAx>
        <c:axId val="1389608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5585627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6703047453621943E-2"/>
          <c:y val="0.10041381778822468"/>
          <c:w val="0.91807808072498398"/>
          <c:h val="0.69245161068349603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'Km app'!$B$6:$B$14</c:f>
              <c:numCache>
                <c:formatCode>General</c:formatCode>
                <c:ptCount val="9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0.5</c:v>
                </c:pt>
                <c:pt idx="4">
                  <c:v>0.2</c:v>
                </c:pt>
                <c:pt idx="5">
                  <c:v>0.1</c:v>
                </c:pt>
                <c:pt idx="6">
                  <c:v>6.6666666666666666E-2</c:v>
                </c:pt>
                <c:pt idx="7">
                  <c:v>0.05</c:v>
                </c:pt>
                <c:pt idx="8">
                  <c:v>3.3333333333333333E-2</c:v>
                </c:pt>
              </c:numCache>
            </c:numRef>
          </c:xVal>
          <c:yVal>
            <c:numRef>
              <c:f>'Km app'!$D$6:$D$14</c:f>
              <c:numCache>
                <c:formatCode>General</c:formatCode>
                <c:ptCount val="9"/>
                <c:pt idx="0">
                  <c:v>3.0487804878048781</c:v>
                </c:pt>
                <c:pt idx="1">
                  <c:v>1.3280212483399734</c:v>
                </c:pt>
                <c:pt idx="2">
                  <c:v>0.88261253309796994</c:v>
                </c:pt>
                <c:pt idx="3">
                  <c:v>0.3710575139146568</c:v>
                </c:pt>
                <c:pt idx="4">
                  <c:v>0.16425755584756899</c:v>
                </c:pt>
                <c:pt idx="5">
                  <c:v>9.5120327213925618E-2</c:v>
                </c:pt>
                <c:pt idx="6">
                  <c:v>6.8240753377917296E-2</c:v>
                </c:pt>
                <c:pt idx="7">
                  <c:v>5.831583858175881E-2</c:v>
                </c:pt>
                <c:pt idx="8">
                  <c:v>4.6893317702227433E-2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F12-455E-B605-A219D4559A7D}"/>
            </c:ext>
          </c:extLst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0774385100291296"/>
                  <c:y val="0.4363938728375423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</c:trendlineLbl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'Km app'!$B$6:$B$13</c:f>
              <c:numCache>
                <c:formatCode>General</c:formatCode>
                <c:ptCount val="8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0.5</c:v>
                </c:pt>
                <c:pt idx="4">
                  <c:v>0.2</c:v>
                </c:pt>
                <c:pt idx="5">
                  <c:v>0.1</c:v>
                </c:pt>
                <c:pt idx="6">
                  <c:v>6.6666666666666666E-2</c:v>
                </c:pt>
                <c:pt idx="7">
                  <c:v>0.05</c:v>
                </c:pt>
              </c:numCache>
            </c:numRef>
          </c:xVal>
          <c:yVal>
            <c:numRef>
              <c:f>'Km app'!$F$6:$F$13</c:f>
              <c:numCache>
                <c:formatCode>General</c:formatCode>
                <c:ptCount val="8"/>
                <c:pt idx="0">
                  <c:v>2.4937655860349124</c:v>
                </c:pt>
                <c:pt idx="1">
                  <c:v>1.0050251256281406</c:v>
                </c:pt>
                <c:pt idx="2">
                  <c:v>0.64432989690721643</c:v>
                </c:pt>
                <c:pt idx="3">
                  <c:v>0.28129395218002812</c:v>
                </c:pt>
                <c:pt idx="4">
                  <c:v>0.12251899044351873</c:v>
                </c:pt>
                <c:pt idx="5">
                  <c:v>6.8110611633292462E-2</c:v>
                </c:pt>
                <c:pt idx="6">
                  <c:v>5.0195763477562494E-2</c:v>
                </c:pt>
                <c:pt idx="7">
                  <c:v>4.7152018106374954E-2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F12-455E-B605-A219D4559A7D}"/>
            </c:ext>
          </c:extLst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2646530839521461"/>
                  <c:y val="0.3797101126895779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</c:trendlineLbl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'Km app'!$B$6:$B$14</c:f>
              <c:numCache>
                <c:formatCode>General</c:formatCode>
                <c:ptCount val="9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0.5</c:v>
                </c:pt>
                <c:pt idx="4">
                  <c:v>0.2</c:v>
                </c:pt>
                <c:pt idx="5">
                  <c:v>0.1</c:v>
                </c:pt>
                <c:pt idx="6">
                  <c:v>6.6666666666666666E-2</c:v>
                </c:pt>
                <c:pt idx="7">
                  <c:v>0.05</c:v>
                </c:pt>
                <c:pt idx="8">
                  <c:v>3.3333333333333333E-2</c:v>
                </c:pt>
              </c:numCache>
            </c:numRef>
          </c:xVal>
          <c:yVal>
            <c:numRef>
              <c:f>'Km app'!$H$6:$H$14</c:f>
              <c:numCache>
                <c:formatCode>General</c:formatCode>
                <c:ptCount val="9"/>
                <c:pt idx="0">
                  <c:v>2.8089887640449436</c:v>
                </c:pt>
                <c:pt idx="1">
                  <c:v>1.122334455667789</c:v>
                </c:pt>
                <c:pt idx="2">
                  <c:v>0.70771408351026199</c:v>
                </c:pt>
                <c:pt idx="3">
                  <c:v>0.30740854595757761</c:v>
                </c:pt>
                <c:pt idx="4">
                  <c:v>0.13460761879122357</c:v>
                </c:pt>
                <c:pt idx="5">
                  <c:v>7.5734625870948188E-2</c:v>
                </c:pt>
                <c:pt idx="6">
                  <c:v>5.6869881710646046E-2</c:v>
                </c:pt>
                <c:pt idx="7">
                  <c:v>4.7152018106374954E-2</c:v>
                </c:pt>
                <c:pt idx="8">
                  <c:v>3.8390663390663396E-2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CF12-455E-B605-A219D4559A7D}"/>
            </c:ext>
          </c:extLst>
        </c:ser>
        <c:ser>
          <c:idx val="3"/>
          <c:order val="3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7.0244705033244009E-2"/>
                  <c:y val="0.2778571941771398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</c:trendlineLbl>
          </c:trendline>
          <c:xVal>
            <c:numRef>
              <c:f>'Km app'!$B$6:$B$14</c:f>
              <c:numCache>
                <c:formatCode>General</c:formatCode>
                <c:ptCount val="9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0.5</c:v>
                </c:pt>
                <c:pt idx="4">
                  <c:v>0.2</c:v>
                </c:pt>
                <c:pt idx="5">
                  <c:v>0.1</c:v>
                </c:pt>
                <c:pt idx="6">
                  <c:v>6.6666666666666666E-2</c:v>
                </c:pt>
                <c:pt idx="7">
                  <c:v>0.05</c:v>
                </c:pt>
                <c:pt idx="8">
                  <c:v>3.3333333333333333E-2</c:v>
                </c:pt>
              </c:numCache>
            </c:numRef>
          </c:xVal>
          <c:yVal>
            <c:numRef>
              <c:f>'Km app'!$J$6:$J$14</c:f>
              <c:numCache>
                <c:formatCode>General</c:formatCode>
                <c:ptCount val="9"/>
                <c:pt idx="0">
                  <c:v>2.785515320334262</c:v>
                </c:pt>
                <c:pt idx="1">
                  <c:v>1.122334455667789</c:v>
                </c:pt>
                <c:pt idx="2">
                  <c:v>0.70771408351026199</c:v>
                </c:pt>
                <c:pt idx="3">
                  <c:v>0.30293850348379275</c:v>
                </c:pt>
                <c:pt idx="4">
                  <c:v>0.13106159895150721</c:v>
                </c:pt>
                <c:pt idx="5">
                  <c:v>7.1592210767468495E-2</c:v>
                </c:pt>
                <c:pt idx="6">
                  <c:v>4.8885412592882288E-2</c:v>
                </c:pt>
                <c:pt idx="7">
                  <c:v>3.9870818547904786E-2</c:v>
                </c:pt>
                <c:pt idx="8">
                  <c:v>3.2131611078979501E-2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CF12-455E-B605-A219D4559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8557184"/>
        <c:axId val="1548292080"/>
        <c:extLst/>
      </c:scatterChart>
      <c:valAx>
        <c:axId val="1558557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548292080"/>
        <c:crosses val="autoZero"/>
        <c:crossBetween val="midCat"/>
      </c:valAx>
      <c:valAx>
        <c:axId val="154829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5585571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845510820046353E-2"/>
          <c:y val="0.87800931677725147"/>
          <c:w val="0.79152417005680475"/>
          <c:h val="8.02575472897601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6.3653122037821613E-2"/>
          <c:y val="0.12424398003174797"/>
          <c:w val="0.89045504296958877"/>
          <c:h val="0.58657472263907084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9315507436570427"/>
                  <c:y val="0.1263013569587527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</c:trendlineLbl>
          </c:trendline>
          <c:xVal>
            <c:numRef>
              <c:f>'Km app'!$B$27:$B$33</c:f>
              <c:numCache>
                <c:formatCode>General</c:formatCode>
                <c:ptCount val="7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0.5</c:v>
                </c:pt>
                <c:pt idx="4">
                  <c:v>0.2</c:v>
                </c:pt>
                <c:pt idx="5">
                  <c:v>0.1</c:v>
                </c:pt>
                <c:pt idx="6">
                  <c:v>6.6666666666666666E-2</c:v>
                </c:pt>
              </c:numCache>
            </c:numRef>
          </c:xVal>
          <c:yVal>
            <c:numRef>
              <c:f>'Km app'!$D$27:$D$33</c:f>
              <c:numCache>
                <c:formatCode>General</c:formatCode>
                <c:ptCount val="7"/>
                <c:pt idx="0">
                  <c:v>3.0864197530864197</c:v>
                </c:pt>
                <c:pt idx="1">
                  <c:v>1.7211703958691911</c:v>
                </c:pt>
                <c:pt idx="2">
                  <c:v>1.1325028312570782</c:v>
                </c:pt>
                <c:pt idx="3">
                  <c:v>0.53533190578158452</c:v>
                </c:pt>
                <c:pt idx="4">
                  <c:v>0.2240143369175627</c:v>
                </c:pt>
                <c:pt idx="5">
                  <c:v>0.12523481527864747</c:v>
                </c:pt>
                <c:pt idx="6">
                  <c:v>8.6088154269972461E-2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531-4145-A65A-5D544870C11E}"/>
            </c:ext>
          </c:extLst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8.7238171798054279E-2"/>
                  <c:y val="0.1638622455175524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</c:trendlineLbl>
          </c:trendline>
          <c:xVal>
            <c:numRef>
              <c:f>'Km app'!$B$27:$B$33</c:f>
              <c:numCache>
                <c:formatCode>General</c:formatCode>
                <c:ptCount val="7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0.5</c:v>
                </c:pt>
                <c:pt idx="4">
                  <c:v>0.2</c:v>
                </c:pt>
                <c:pt idx="5">
                  <c:v>0.1</c:v>
                </c:pt>
                <c:pt idx="6">
                  <c:v>6.6666666666666666E-2</c:v>
                </c:pt>
              </c:numCache>
            </c:numRef>
          </c:xVal>
          <c:yVal>
            <c:numRef>
              <c:f>'Km app'!$F$27:$F$33</c:f>
              <c:numCache>
                <c:formatCode>General</c:formatCode>
                <c:ptCount val="7"/>
                <c:pt idx="0">
                  <c:v>3.5971223021582732</c:v>
                </c:pt>
                <c:pt idx="1">
                  <c:v>1.6835016835016836</c:v>
                </c:pt>
                <c:pt idx="2">
                  <c:v>1.0626992561105209</c:v>
                </c:pt>
                <c:pt idx="3">
                  <c:v>0.47169811320754712</c:v>
                </c:pt>
                <c:pt idx="4">
                  <c:v>0.2089864158829676</c:v>
                </c:pt>
                <c:pt idx="5">
                  <c:v>0.11171936096525527</c:v>
                </c:pt>
                <c:pt idx="6">
                  <c:v>8.2433435001236496E-2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531-4145-A65A-5D544870C11E}"/>
            </c:ext>
          </c:extLst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</c:trendlineLbl>
          </c:trendline>
          <c:xVal>
            <c:numRef>
              <c:f>'Km app'!$B$27:$B$33</c:f>
              <c:numCache>
                <c:formatCode>General</c:formatCode>
                <c:ptCount val="7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0.5</c:v>
                </c:pt>
                <c:pt idx="4">
                  <c:v>0.2</c:v>
                </c:pt>
                <c:pt idx="5">
                  <c:v>0.1</c:v>
                </c:pt>
                <c:pt idx="6">
                  <c:v>6.6666666666666666E-2</c:v>
                </c:pt>
              </c:numCache>
            </c:numRef>
          </c:xVal>
          <c:yVal>
            <c:numRef>
              <c:f>'Km app'!$H$27:$H$33</c:f>
              <c:numCache>
                <c:formatCode>General</c:formatCode>
                <c:ptCount val="7"/>
                <c:pt idx="0">
                  <c:v>4.0983606557377046</c:v>
                </c:pt>
                <c:pt idx="1">
                  <c:v>1.5220700152207003</c:v>
                </c:pt>
                <c:pt idx="2">
                  <c:v>0.94339622641509424</c:v>
                </c:pt>
                <c:pt idx="3">
                  <c:v>0.41928721174004191</c:v>
                </c:pt>
                <c:pt idx="4">
                  <c:v>0.19368584156498159</c:v>
                </c:pt>
                <c:pt idx="5">
                  <c:v>0.11355893708834884</c:v>
                </c:pt>
                <c:pt idx="6">
                  <c:v>8.5675119945167924E-2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531-4145-A65A-5D544870C11E}"/>
            </c:ext>
          </c:extLst>
        </c:ser>
        <c:ser>
          <c:idx val="3"/>
          <c:order val="3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162661854768154"/>
                  <c:y val="-5.4881672793822365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</c:trendlineLbl>
          </c:trendline>
          <c:xVal>
            <c:numRef>
              <c:f>'Km app'!$B$27:$B$33</c:f>
              <c:numCache>
                <c:formatCode>General</c:formatCode>
                <c:ptCount val="7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0.5</c:v>
                </c:pt>
                <c:pt idx="4">
                  <c:v>0.2</c:v>
                </c:pt>
                <c:pt idx="5">
                  <c:v>0.1</c:v>
                </c:pt>
                <c:pt idx="6">
                  <c:v>6.6666666666666666E-2</c:v>
                </c:pt>
              </c:numCache>
            </c:numRef>
          </c:xVal>
          <c:yVal>
            <c:numRef>
              <c:f>'Km app'!$J$27:$J$33</c:f>
              <c:numCache>
                <c:formatCode>General</c:formatCode>
                <c:ptCount val="7"/>
                <c:pt idx="0">
                  <c:v>3.012048192771084</c:v>
                </c:pt>
                <c:pt idx="1">
                  <c:v>1.41643059490085</c:v>
                </c:pt>
                <c:pt idx="2">
                  <c:v>0.98716683119447202</c:v>
                </c:pt>
                <c:pt idx="3">
                  <c:v>0.43610989969472302</c:v>
                </c:pt>
                <c:pt idx="4">
                  <c:v>0.19338619222587505</c:v>
                </c:pt>
                <c:pt idx="5">
                  <c:v>0.11927480916030533</c:v>
                </c:pt>
                <c:pt idx="6">
                  <c:v>9.1785222579164757E-2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B531-4145-A65A-5D544870C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1637344"/>
        <c:axId val="1639964800"/>
      </c:scatterChart>
      <c:valAx>
        <c:axId val="1491637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39964800"/>
        <c:crosses val="autoZero"/>
        <c:crossBetween val="midCat"/>
      </c:valAx>
      <c:valAx>
        <c:axId val="163996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916373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</c:trendlineLbl>
          </c:trendline>
          <c:xVal>
            <c:numRef>
              <c:f>'Artificial sweat'!$A$6:$A$10</c:f>
              <c:numCache>
                <c:formatCode>General</c:formatCode>
                <c:ptCount val="5"/>
                <c:pt idx="0">
                  <c:v>0.05</c:v>
                </c:pt>
                <c:pt idx="1">
                  <c:v>0.1</c:v>
                </c:pt>
                <c:pt idx="2">
                  <c:v>0.17</c:v>
                </c:pt>
                <c:pt idx="3">
                  <c:v>0.5</c:v>
                </c:pt>
                <c:pt idx="4">
                  <c:v>1</c:v>
                </c:pt>
              </c:numCache>
            </c:numRef>
          </c:xVal>
          <c:yVal>
            <c:numRef>
              <c:f>'Artificial sweat'!$P$6:$P$10</c:f>
              <c:numCache>
                <c:formatCode>General</c:formatCode>
                <c:ptCount val="5"/>
                <c:pt idx="0">
                  <c:v>8.2025933089762868E-4</c:v>
                </c:pt>
                <c:pt idx="1">
                  <c:v>1.6584282541729351E-3</c:v>
                </c:pt>
                <c:pt idx="2">
                  <c:v>2.8834443728060744E-3</c:v>
                </c:pt>
                <c:pt idx="3">
                  <c:v>9.7750555197363715E-3</c:v>
                </c:pt>
                <c:pt idx="4">
                  <c:v>1.7250519378178952E-2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7AA-4E1D-8294-F5F471F94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223408"/>
        <c:axId val="476043680"/>
      </c:scatterChart>
      <c:valAx>
        <c:axId val="502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76043680"/>
        <c:crosses val="autoZero"/>
        <c:crossBetween val="midCat"/>
      </c:valAx>
      <c:valAx>
        <c:axId val="47604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02223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0.2 - 50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czujnik!$J$14:$J$22</c:f>
                <c:numCache>
                  <c:formatCode>General</c:formatCode>
                  <c:ptCount val="9"/>
                  <c:pt idx="0">
                    <c:v>1.088066328477133E-3</c:v>
                  </c:pt>
                  <c:pt idx="1">
                    <c:v>2.0432639439718771E-4</c:v>
                  </c:pt>
                  <c:pt idx="2">
                    <c:v>1.7823131078205613E-3</c:v>
                  </c:pt>
                  <c:pt idx="3">
                    <c:v>1.4961189386678256E-3</c:v>
                  </c:pt>
                  <c:pt idx="4">
                    <c:v>4.1719771736333797E-3</c:v>
                  </c:pt>
                  <c:pt idx="5">
                    <c:v>2.714737454071401E-2</c:v>
                  </c:pt>
                  <c:pt idx="6">
                    <c:v>9.5939210686003945E-3</c:v>
                  </c:pt>
                  <c:pt idx="7">
                    <c:v>4.1013701691866257E-3</c:v>
                  </c:pt>
                  <c:pt idx="8">
                    <c:v>6.2747667128752651E-3</c:v>
                  </c:pt>
                </c:numCache>
              </c:numRef>
            </c:plus>
            <c:minus>
              <c:numRef>
                <c:f>czujnik!$J$14:$J$22</c:f>
                <c:numCache>
                  <c:formatCode>General</c:formatCode>
                  <c:ptCount val="9"/>
                  <c:pt idx="0">
                    <c:v>1.088066328477133E-3</c:v>
                  </c:pt>
                  <c:pt idx="1">
                    <c:v>2.0432639439718771E-4</c:v>
                  </c:pt>
                  <c:pt idx="2">
                    <c:v>1.7823131078205613E-3</c:v>
                  </c:pt>
                  <c:pt idx="3">
                    <c:v>1.4961189386678256E-3</c:v>
                  </c:pt>
                  <c:pt idx="4">
                    <c:v>4.1719771736333797E-3</c:v>
                  </c:pt>
                  <c:pt idx="5">
                    <c:v>2.714737454071401E-2</c:v>
                  </c:pt>
                  <c:pt idx="6">
                    <c:v>9.5939210686003945E-3</c:v>
                  </c:pt>
                  <c:pt idx="7">
                    <c:v>4.1013701691866257E-3</c:v>
                  </c:pt>
                  <c:pt idx="8">
                    <c:v>6.2747667128752651E-3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czujnik!$B$12:$B$22</c:f>
              <c:numCache>
                <c:formatCode>General</c:formatCode>
                <c:ptCount val="11"/>
                <c:pt idx="0">
                  <c:v>0.2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5</c:v>
                </c:pt>
                <c:pt idx="5">
                  <c:v>10</c:v>
                </c:pt>
                <c:pt idx="6">
                  <c:v>15</c:v>
                </c:pt>
                <c:pt idx="7">
                  <c:v>20</c:v>
                </c:pt>
                <c:pt idx="8">
                  <c:v>30</c:v>
                </c:pt>
                <c:pt idx="9">
                  <c:v>40</c:v>
                </c:pt>
                <c:pt idx="10">
                  <c:v>50</c:v>
                </c:pt>
              </c:numCache>
            </c:numRef>
          </c:xVal>
          <c:yVal>
            <c:numRef>
              <c:f>czujnik!$I$12:$I$22</c:f>
              <c:numCache>
                <c:formatCode>General</c:formatCode>
                <c:ptCount val="11"/>
                <c:pt idx="0">
                  <c:v>6.3147755569883226E-3</c:v>
                </c:pt>
                <c:pt idx="1">
                  <c:v>9.1661293788953355E-3</c:v>
                </c:pt>
                <c:pt idx="2">
                  <c:v>1.5097786374382119E-2</c:v>
                </c:pt>
                <c:pt idx="3">
                  <c:v>2.6975428039257829E-2</c:v>
                </c:pt>
                <c:pt idx="4">
                  <c:v>6.2042409914750331E-2</c:v>
                </c:pt>
                <c:pt idx="5">
                  <c:v>0.14180098860949925</c:v>
                </c:pt>
                <c:pt idx="6">
                  <c:v>0.21053800415502541</c:v>
                </c:pt>
                <c:pt idx="7">
                  <c:v>0.27236549896124362</c:v>
                </c:pt>
                <c:pt idx="8">
                  <c:v>0.41638011318862378</c:v>
                </c:pt>
                <c:pt idx="9">
                  <c:v>0.49117773479475607</c:v>
                </c:pt>
                <c:pt idx="10">
                  <c:v>0.53045347087900285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9C-46CF-8ACD-67AD92F84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337424"/>
        <c:axId val="191294608"/>
      </c:scatterChart>
      <c:valAx>
        <c:axId val="191337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800" b="0" i="0" baseline="0">
                    <a:effectLst/>
                  </a:rPr>
                  <a:t>c (mM)</a:t>
                </a:r>
                <a:endParaRPr lang="pl-PL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1294608"/>
        <c:crosses val="autoZero"/>
        <c:crossBetween val="midCat"/>
      </c:valAx>
      <c:valAx>
        <c:axId val="1912946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800" b="0" i="0" baseline="0">
                    <a:effectLst/>
                  </a:rPr>
                  <a:t>j (mA/cm</a:t>
                </a:r>
                <a:r>
                  <a:rPr lang="pl-PL" sz="1800" b="0" i="0" baseline="30000">
                    <a:effectLst/>
                  </a:rPr>
                  <a:t>2</a:t>
                </a:r>
                <a:r>
                  <a:rPr lang="pl-PL" sz="1800" b="0" i="0" baseline="0">
                    <a:effectLst/>
                  </a:rPr>
                  <a:t>)</a:t>
                </a:r>
                <a:endParaRPr lang="pl-PL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1337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0.2 - 30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7.9464072430023069E-2"/>
          <c:y val="2.6864844234115389E-2"/>
          <c:w val="0.89397830587586691"/>
          <c:h val="0.84693190845565725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czujnik!$J$13:$J$20</c:f>
                <c:numCache>
                  <c:formatCode>General</c:formatCode>
                  <c:ptCount val="8"/>
                  <c:pt idx="0">
                    <c:v>2.9349882406506917E-4</c:v>
                  </c:pt>
                  <c:pt idx="1">
                    <c:v>1.088066328477133E-3</c:v>
                  </c:pt>
                  <c:pt idx="2">
                    <c:v>2.0432639439718771E-4</c:v>
                  </c:pt>
                  <c:pt idx="3">
                    <c:v>1.7823131078205613E-3</c:v>
                  </c:pt>
                  <c:pt idx="4">
                    <c:v>1.4961189386678256E-3</c:v>
                  </c:pt>
                  <c:pt idx="5">
                    <c:v>4.1719771736333797E-3</c:v>
                  </c:pt>
                  <c:pt idx="6">
                    <c:v>2.714737454071401E-2</c:v>
                  </c:pt>
                  <c:pt idx="7">
                    <c:v>9.5939210686003945E-3</c:v>
                  </c:pt>
                </c:numCache>
              </c:numRef>
            </c:plus>
            <c:minus>
              <c:numRef>
                <c:f>czujnik!$J$13:$J$20</c:f>
                <c:numCache>
                  <c:formatCode>General</c:formatCode>
                  <c:ptCount val="8"/>
                  <c:pt idx="0">
                    <c:v>2.9349882406506917E-4</c:v>
                  </c:pt>
                  <c:pt idx="1">
                    <c:v>1.088066328477133E-3</c:v>
                  </c:pt>
                  <c:pt idx="2">
                    <c:v>2.0432639439718771E-4</c:v>
                  </c:pt>
                  <c:pt idx="3">
                    <c:v>1.7823131078205613E-3</c:v>
                  </c:pt>
                  <c:pt idx="4">
                    <c:v>1.4961189386678256E-3</c:v>
                  </c:pt>
                  <c:pt idx="5">
                    <c:v>4.1719771736333797E-3</c:v>
                  </c:pt>
                  <c:pt idx="6">
                    <c:v>2.714737454071401E-2</c:v>
                  </c:pt>
                  <c:pt idx="7">
                    <c:v>9.5939210686003945E-3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czujnik!$B$11:$B$20</c:f>
              <c:numCache>
                <c:formatCode>General</c:formatCode>
                <c:ptCount val="10"/>
                <c:pt idx="0">
                  <c:v>0</c:v>
                </c:pt>
                <c:pt idx="1">
                  <c:v>0.2</c:v>
                </c:pt>
                <c:pt idx="2">
                  <c:v>0.5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6">
                  <c:v>10</c:v>
                </c:pt>
                <c:pt idx="7">
                  <c:v>15</c:v>
                </c:pt>
                <c:pt idx="8">
                  <c:v>20</c:v>
                </c:pt>
                <c:pt idx="9">
                  <c:v>30</c:v>
                </c:pt>
              </c:numCache>
            </c:numRef>
          </c:xVal>
          <c:yVal>
            <c:numRef>
              <c:f>czujnik!$I$11:$I$20</c:f>
              <c:numCache>
                <c:formatCode>General</c:formatCode>
                <c:ptCount val="10"/>
                <c:pt idx="0">
                  <c:v>5.6059173293215847E-4</c:v>
                </c:pt>
                <c:pt idx="1">
                  <c:v>6.3147755569883226E-3</c:v>
                </c:pt>
                <c:pt idx="2">
                  <c:v>9.1661293788953355E-3</c:v>
                </c:pt>
                <c:pt idx="3">
                  <c:v>1.5097786374382119E-2</c:v>
                </c:pt>
                <c:pt idx="4">
                  <c:v>2.6975428039257829E-2</c:v>
                </c:pt>
                <c:pt idx="5">
                  <c:v>6.2042409914750331E-2</c:v>
                </c:pt>
                <c:pt idx="6">
                  <c:v>0.14180098860949925</c:v>
                </c:pt>
                <c:pt idx="7">
                  <c:v>0.21053800415502541</c:v>
                </c:pt>
                <c:pt idx="8">
                  <c:v>0.27236549896124362</c:v>
                </c:pt>
                <c:pt idx="9">
                  <c:v>0.41638011318862378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C41-426D-91C5-D3B48D32B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337424"/>
        <c:axId val="191294608"/>
      </c:scatterChart>
      <c:valAx>
        <c:axId val="191337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1294608"/>
        <c:crosses val="autoZero"/>
        <c:crossBetween val="midCat"/>
      </c:valAx>
      <c:valAx>
        <c:axId val="1912946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200" b="0" i="0" baseline="0">
                    <a:effectLst/>
                  </a:rPr>
                  <a:t>j (mA/cm</a:t>
                </a:r>
                <a:r>
                  <a:rPr lang="pl-PL" sz="1200" b="0" i="0" baseline="30000">
                    <a:effectLst/>
                  </a:rPr>
                  <a:t>2</a:t>
                </a:r>
                <a:r>
                  <a:rPr lang="pl-PL" sz="1200" b="0" i="0" baseline="0">
                    <a:effectLst/>
                  </a:rPr>
                  <a:t>)</a:t>
                </a:r>
                <a:endParaRPr lang="pl-PL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1337424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0.2 - 40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czujnik!$J$14:$J$19</c:f>
                <c:numCache>
                  <c:formatCode>General</c:formatCode>
                  <c:ptCount val="6"/>
                  <c:pt idx="0">
                    <c:v>1.088066328477133E-3</c:v>
                  </c:pt>
                  <c:pt idx="1">
                    <c:v>2.0432639439718771E-4</c:v>
                  </c:pt>
                  <c:pt idx="2">
                    <c:v>1.7823131078205613E-3</c:v>
                  </c:pt>
                  <c:pt idx="3">
                    <c:v>1.4961189386678256E-3</c:v>
                  </c:pt>
                  <c:pt idx="4">
                    <c:v>4.1719771736333797E-3</c:v>
                  </c:pt>
                  <c:pt idx="5">
                    <c:v>2.714737454071401E-2</c:v>
                  </c:pt>
                </c:numCache>
              </c:numRef>
            </c:plus>
            <c:minus>
              <c:numRef>
                <c:f>czujnik!$J$14:$J$19</c:f>
                <c:numCache>
                  <c:formatCode>General</c:formatCode>
                  <c:ptCount val="6"/>
                  <c:pt idx="0">
                    <c:v>1.088066328477133E-3</c:v>
                  </c:pt>
                  <c:pt idx="1">
                    <c:v>2.0432639439718771E-4</c:v>
                  </c:pt>
                  <c:pt idx="2">
                    <c:v>1.7823131078205613E-3</c:v>
                  </c:pt>
                  <c:pt idx="3">
                    <c:v>1.4961189386678256E-3</c:v>
                  </c:pt>
                  <c:pt idx="4">
                    <c:v>4.1719771736333797E-3</c:v>
                  </c:pt>
                  <c:pt idx="5">
                    <c:v>2.714737454071401E-2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czujnik!$B$13:$B$21</c:f>
              <c:numCache>
                <c:formatCode>General</c:formatCode>
                <c:ptCount val="9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  <c:pt idx="5">
                  <c:v>15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</c:numCache>
            </c:numRef>
          </c:xVal>
          <c:yVal>
            <c:numRef>
              <c:f>czujnik!$I$13:$I$21</c:f>
              <c:numCache>
                <c:formatCode>General</c:formatCode>
                <c:ptCount val="9"/>
                <c:pt idx="0">
                  <c:v>9.1661293788953355E-3</c:v>
                </c:pt>
                <c:pt idx="1">
                  <c:v>1.5097786374382119E-2</c:v>
                </c:pt>
                <c:pt idx="2">
                  <c:v>2.6975428039257829E-2</c:v>
                </c:pt>
                <c:pt idx="3">
                  <c:v>6.2042409914750331E-2</c:v>
                </c:pt>
                <c:pt idx="4">
                  <c:v>0.14180098860949925</c:v>
                </c:pt>
                <c:pt idx="5">
                  <c:v>0.21053800415502541</c:v>
                </c:pt>
                <c:pt idx="6">
                  <c:v>0.27236549896124362</c:v>
                </c:pt>
                <c:pt idx="7">
                  <c:v>0.41638011318862378</c:v>
                </c:pt>
                <c:pt idx="8">
                  <c:v>0.49117773479475607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691-467F-AD0A-416B632BC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337424"/>
        <c:axId val="191294608"/>
      </c:scatterChart>
      <c:valAx>
        <c:axId val="191337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1294608"/>
        <c:crosses val="autoZero"/>
        <c:crossBetween val="midCat"/>
      </c:valAx>
      <c:valAx>
        <c:axId val="1912946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200" b="0" i="0" baseline="0">
                    <a:effectLst/>
                  </a:rPr>
                  <a:t>j (mA/cm</a:t>
                </a:r>
                <a:r>
                  <a:rPr lang="pl-PL" sz="1200" b="0" i="0" baseline="30000">
                    <a:effectLst/>
                  </a:rPr>
                  <a:t>2</a:t>
                </a:r>
                <a:r>
                  <a:rPr lang="pl-PL" sz="1200" b="0" i="0" baseline="0">
                    <a:effectLst/>
                  </a:rPr>
                  <a:t>)</a:t>
                </a:r>
                <a:endParaRPr lang="pl-PL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1337424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0.2 - 200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czujnik!$J$14:$J$22</c:f>
                <c:numCache>
                  <c:formatCode>General</c:formatCode>
                  <c:ptCount val="9"/>
                  <c:pt idx="0">
                    <c:v>1.088066328477133E-3</c:v>
                  </c:pt>
                  <c:pt idx="1">
                    <c:v>2.0432639439718771E-4</c:v>
                  </c:pt>
                  <c:pt idx="2">
                    <c:v>1.7823131078205613E-3</c:v>
                  </c:pt>
                  <c:pt idx="3">
                    <c:v>1.4961189386678256E-3</c:v>
                  </c:pt>
                  <c:pt idx="4">
                    <c:v>4.1719771736333797E-3</c:v>
                  </c:pt>
                  <c:pt idx="5">
                    <c:v>2.714737454071401E-2</c:v>
                  </c:pt>
                  <c:pt idx="6">
                    <c:v>9.5939210686003945E-3</c:v>
                  </c:pt>
                  <c:pt idx="7">
                    <c:v>4.1013701691866257E-3</c:v>
                  </c:pt>
                  <c:pt idx="8">
                    <c:v>6.2747667128752651E-3</c:v>
                  </c:pt>
                </c:numCache>
              </c:numRef>
            </c:plus>
            <c:minus>
              <c:numRef>
                <c:f>czujnik!$J$14:$J$22</c:f>
                <c:numCache>
                  <c:formatCode>General</c:formatCode>
                  <c:ptCount val="9"/>
                  <c:pt idx="0">
                    <c:v>1.088066328477133E-3</c:v>
                  </c:pt>
                  <c:pt idx="1">
                    <c:v>2.0432639439718771E-4</c:v>
                  </c:pt>
                  <c:pt idx="2">
                    <c:v>1.7823131078205613E-3</c:v>
                  </c:pt>
                  <c:pt idx="3">
                    <c:v>1.4961189386678256E-3</c:v>
                  </c:pt>
                  <c:pt idx="4">
                    <c:v>4.1719771736333797E-3</c:v>
                  </c:pt>
                  <c:pt idx="5">
                    <c:v>2.714737454071401E-2</c:v>
                  </c:pt>
                  <c:pt idx="6">
                    <c:v>9.5939210686003945E-3</c:v>
                  </c:pt>
                  <c:pt idx="7">
                    <c:v>4.1013701691866257E-3</c:v>
                  </c:pt>
                  <c:pt idx="8">
                    <c:v>6.2747667128752651E-3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czujnik!$B$12:$B$24</c:f>
              <c:numCache>
                <c:formatCode>General</c:formatCode>
                <c:ptCount val="13"/>
                <c:pt idx="0">
                  <c:v>0.2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5</c:v>
                </c:pt>
                <c:pt idx="5">
                  <c:v>10</c:v>
                </c:pt>
                <c:pt idx="6">
                  <c:v>15</c:v>
                </c:pt>
                <c:pt idx="7">
                  <c:v>20</c:v>
                </c:pt>
                <c:pt idx="8">
                  <c:v>30</c:v>
                </c:pt>
                <c:pt idx="9">
                  <c:v>40</c:v>
                </c:pt>
                <c:pt idx="10">
                  <c:v>50</c:v>
                </c:pt>
                <c:pt idx="11">
                  <c:v>100</c:v>
                </c:pt>
                <c:pt idx="12">
                  <c:v>200</c:v>
                </c:pt>
              </c:numCache>
            </c:numRef>
          </c:xVal>
          <c:yVal>
            <c:numRef>
              <c:f>czujnik!$I$12:$I$24</c:f>
              <c:numCache>
                <c:formatCode>General</c:formatCode>
                <c:ptCount val="13"/>
                <c:pt idx="0">
                  <c:v>6.3147755569883226E-3</c:v>
                </c:pt>
                <c:pt idx="1">
                  <c:v>9.1661293788953355E-3</c:v>
                </c:pt>
                <c:pt idx="2">
                  <c:v>1.5097786374382119E-2</c:v>
                </c:pt>
                <c:pt idx="3">
                  <c:v>2.6975428039257829E-2</c:v>
                </c:pt>
                <c:pt idx="4">
                  <c:v>6.2042409914750331E-2</c:v>
                </c:pt>
                <c:pt idx="5">
                  <c:v>0.14180098860949925</c:v>
                </c:pt>
                <c:pt idx="6">
                  <c:v>0.21053800415502541</c:v>
                </c:pt>
                <c:pt idx="7">
                  <c:v>0.27236549896124362</c:v>
                </c:pt>
                <c:pt idx="8">
                  <c:v>0.41638011318862378</c:v>
                </c:pt>
                <c:pt idx="9">
                  <c:v>0.49117773479475607</c:v>
                </c:pt>
                <c:pt idx="10">
                  <c:v>0.53045347087900285</c:v>
                </c:pt>
                <c:pt idx="11">
                  <c:v>0.72486567805716751</c:v>
                </c:pt>
                <c:pt idx="12">
                  <c:v>0.8616251164123504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DB6-4C3B-A51C-118493A25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337424"/>
        <c:axId val="191294608"/>
      </c:scatterChart>
      <c:valAx>
        <c:axId val="191337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800" b="0" i="0" baseline="0">
                    <a:effectLst/>
                  </a:rPr>
                  <a:t>c (mM)</a:t>
                </a:r>
                <a:endParaRPr lang="pl-PL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1294608"/>
        <c:crosses val="autoZero"/>
        <c:crossBetween val="midCat"/>
      </c:valAx>
      <c:valAx>
        <c:axId val="1912946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800" b="0" i="0" baseline="0">
                    <a:effectLst/>
                  </a:rPr>
                  <a:t>j (mA/cm</a:t>
                </a:r>
                <a:r>
                  <a:rPr lang="pl-PL" sz="1800" b="0" i="0" baseline="30000">
                    <a:effectLst/>
                  </a:rPr>
                  <a:t>2</a:t>
                </a:r>
                <a:r>
                  <a:rPr lang="pl-PL" sz="1800" b="0" i="0" baseline="0">
                    <a:effectLst/>
                  </a:rPr>
                  <a:t>)</a:t>
                </a:r>
                <a:endParaRPr lang="pl-PL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1337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0.2 - 30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7.7797194432284236E-2"/>
          <c:y val="3.213058680065374E-2"/>
          <c:w val="0.89397830587586691"/>
          <c:h val="0.8469319084556572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4.9155769014654377E-2"/>
                  <c:y val="-1.9576659278553103E-4"/>
                </c:manualLayout>
              </c:layout>
              <c:numFmt formatCode="#,##0.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czujnik!$J$62:$J$70</c:f>
                <c:numCache>
                  <c:formatCode>General</c:formatCode>
                  <c:ptCount val="9"/>
                  <c:pt idx="0">
                    <c:v>1.3431000257362746E-4</c:v>
                  </c:pt>
                  <c:pt idx="1">
                    <c:v>2.2039716402199526E-4</c:v>
                  </c:pt>
                  <c:pt idx="2">
                    <c:v>3.3459796971578842E-4</c:v>
                  </c:pt>
                  <c:pt idx="3">
                    <c:v>1.2866917272031525E-3</c:v>
                  </c:pt>
                  <c:pt idx="4">
                    <c:v>2.1446749958605777E-3</c:v>
                  </c:pt>
                  <c:pt idx="5">
                    <c:v>3.5615582964111303E-3</c:v>
                  </c:pt>
                  <c:pt idx="6">
                    <c:v>1.2937917300414356E-3</c:v>
                  </c:pt>
                  <c:pt idx="7">
                    <c:v>4.103593757150528E-3</c:v>
                  </c:pt>
                  <c:pt idx="8">
                    <c:v>7.1582129224288466E-3</c:v>
                  </c:pt>
                </c:numCache>
              </c:numRef>
            </c:plus>
            <c:minus>
              <c:numRef>
                <c:f>czujnik!$J$62:$J$70</c:f>
                <c:numCache>
                  <c:formatCode>General</c:formatCode>
                  <c:ptCount val="9"/>
                  <c:pt idx="0">
                    <c:v>1.3431000257362746E-4</c:v>
                  </c:pt>
                  <c:pt idx="1">
                    <c:v>2.2039716402199526E-4</c:v>
                  </c:pt>
                  <c:pt idx="2">
                    <c:v>3.3459796971578842E-4</c:v>
                  </c:pt>
                  <c:pt idx="3">
                    <c:v>1.2866917272031525E-3</c:v>
                  </c:pt>
                  <c:pt idx="4">
                    <c:v>2.1446749958605777E-3</c:v>
                  </c:pt>
                  <c:pt idx="5">
                    <c:v>3.5615582964111303E-3</c:v>
                  </c:pt>
                  <c:pt idx="6">
                    <c:v>1.2937917300414356E-3</c:v>
                  </c:pt>
                  <c:pt idx="7">
                    <c:v>4.103593757150528E-3</c:v>
                  </c:pt>
                  <c:pt idx="8">
                    <c:v>7.1582129224288466E-3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czujnik!$B$61:$B$70</c:f>
              <c:numCache>
                <c:formatCode>General</c:formatCode>
                <c:ptCount val="10"/>
                <c:pt idx="0">
                  <c:v>0</c:v>
                </c:pt>
                <c:pt idx="1">
                  <c:v>0.2</c:v>
                </c:pt>
                <c:pt idx="2">
                  <c:v>0.5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6">
                  <c:v>10</c:v>
                </c:pt>
                <c:pt idx="7">
                  <c:v>15</c:v>
                </c:pt>
                <c:pt idx="8">
                  <c:v>20</c:v>
                </c:pt>
                <c:pt idx="9">
                  <c:v>30</c:v>
                </c:pt>
              </c:numCache>
            </c:numRef>
          </c:xVal>
          <c:yVal>
            <c:numRef>
              <c:f>czujnik!$I$61:$I$70</c:f>
              <c:numCache>
                <c:formatCode>General</c:formatCode>
                <c:ptCount val="10"/>
                <c:pt idx="0">
                  <c:v>8.8856651622609066E-5</c:v>
                </c:pt>
                <c:pt idx="1">
                  <c:v>1.6082813955154379E-3</c:v>
                </c:pt>
                <c:pt idx="2">
                  <c:v>4.4594885020416931E-3</c:v>
                </c:pt>
                <c:pt idx="3">
                  <c:v>9.3846264059030023E-3</c:v>
                </c:pt>
                <c:pt idx="4">
                  <c:v>1.9134608496310625E-2</c:v>
                </c:pt>
                <c:pt idx="5">
                  <c:v>4.0321656279103085E-2</c:v>
                </c:pt>
                <c:pt idx="6">
                  <c:v>7.3364854215918041E-2</c:v>
                </c:pt>
                <c:pt idx="7">
                  <c:v>0.10679848126656637</c:v>
                </c:pt>
                <c:pt idx="8">
                  <c:v>0.1482162045991833</c:v>
                </c:pt>
                <c:pt idx="9">
                  <c:v>0.2136327817178881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9EF-4094-8579-F9A376365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337424"/>
        <c:axId val="191294608"/>
      </c:scatterChart>
      <c:valAx>
        <c:axId val="191337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1294608"/>
        <c:crosses val="autoZero"/>
        <c:crossBetween val="midCat"/>
      </c:valAx>
      <c:valAx>
        <c:axId val="1912946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200" b="0" i="0" baseline="0">
                    <a:effectLst/>
                  </a:rPr>
                  <a:t>j (mA/cm</a:t>
                </a:r>
                <a:r>
                  <a:rPr lang="pl-PL" sz="1200" b="0" i="0" baseline="30000">
                    <a:effectLst/>
                  </a:rPr>
                  <a:t>2</a:t>
                </a:r>
                <a:r>
                  <a:rPr lang="pl-PL" sz="1200" b="0" i="0" baseline="0">
                    <a:effectLst/>
                  </a:rPr>
                  <a:t>)</a:t>
                </a:r>
                <a:endParaRPr lang="pl-PL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1337424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797194432284236E-2"/>
          <c:y val="3.213058680065374E-2"/>
          <c:w val="0.89397830587586691"/>
          <c:h val="0.84693190845565725"/>
        </c:manualLayout>
      </c:layout>
      <c:scatterChart>
        <c:scatterStyle val="lineMarker"/>
        <c:varyColors val="0"/>
        <c:ser>
          <c:idx val="0"/>
          <c:order val="0"/>
          <c:tx>
            <c:v>pH 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czujnik!$J$62:$J$70</c:f>
                <c:numCache>
                  <c:formatCode>General</c:formatCode>
                  <c:ptCount val="9"/>
                  <c:pt idx="0">
                    <c:v>1.3431000257362746E-4</c:v>
                  </c:pt>
                  <c:pt idx="1">
                    <c:v>2.2039716402199526E-4</c:v>
                  </c:pt>
                  <c:pt idx="2">
                    <c:v>3.3459796971578842E-4</c:v>
                  </c:pt>
                  <c:pt idx="3">
                    <c:v>1.2866917272031525E-3</c:v>
                  </c:pt>
                  <c:pt idx="4">
                    <c:v>2.1446749958605777E-3</c:v>
                  </c:pt>
                  <c:pt idx="5">
                    <c:v>3.5615582964111303E-3</c:v>
                  </c:pt>
                  <c:pt idx="6">
                    <c:v>1.2937917300414356E-3</c:v>
                  </c:pt>
                  <c:pt idx="7">
                    <c:v>4.103593757150528E-3</c:v>
                  </c:pt>
                  <c:pt idx="8">
                    <c:v>7.1582129224288466E-3</c:v>
                  </c:pt>
                </c:numCache>
              </c:numRef>
            </c:plus>
            <c:minus>
              <c:numRef>
                <c:f>czujnik!$J$62:$J$70</c:f>
                <c:numCache>
                  <c:formatCode>General</c:formatCode>
                  <c:ptCount val="9"/>
                  <c:pt idx="0">
                    <c:v>1.3431000257362746E-4</c:v>
                  </c:pt>
                  <c:pt idx="1">
                    <c:v>2.2039716402199526E-4</c:v>
                  </c:pt>
                  <c:pt idx="2">
                    <c:v>3.3459796971578842E-4</c:v>
                  </c:pt>
                  <c:pt idx="3">
                    <c:v>1.2866917272031525E-3</c:v>
                  </c:pt>
                  <c:pt idx="4">
                    <c:v>2.1446749958605777E-3</c:v>
                  </c:pt>
                  <c:pt idx="5">
                    <c:v>3.5615582964111303E-3</c:v>
                  </c:pt>
                  <c:pt idx="6">
                    <c:v>1.2937917300414356E-3</c:v>
                  </c:pt>
                  <c:pt idx="7">
                    <c:v>4.103593757150528E-3</c:v>
                  </c:pt>
                  <c:pt idx="8">
                    <c:v>7.1582129224288466E-3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czujnik!$B$62:$B$70</c:f>
              <c:numCache>
                <c:formatCode>General</c:formatCode>
                <c:ptCount val="9"/>
                <c:pt idx="0">
                  <c:v>0.2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5</c:v>
                </c:pt>
                <c:pt idx="5">
                  <c:v>10</c:v>
                </c:pt>
                <c:pt idx="6">
                  <c:v>15</c:v>
                </c:pt>
                <c:pt idx="7">
                  <c:v>20</c:v>
                </c:pt>
                <c:pt idx="8">
                  <c:v>30</c:v>
                </c:pt>
              </c:numCache>
            </c:numRef>
          </c:xVal>
          <c:yVal>
            <c:numRef>
              <c:f>czujnik!$I$62:$I$70</c:f>
              <c:numCache>
                <c:formatCode>General</c:formatCode>
                <c:ptCount val="9"/>
                <c:pt idx="0">
                  <c:v>1.6082813955154379E-3</c:v>
                </c:pt>
                <c:pt idx="1">
                  <c:v>4.4594885020416931E-3</c:v>
                </c:pt>
                <c:pt idx="2">
                  <c:v>9.3846264059030023E-3</c:v>
                </c:pt>
                <c:pt idx="3">
                  <c:v>1.9134608496310625E-2</c:v>
                </c:pt>
                <c:pt idx="4">
                  <c:v>4.0321656279103085E-2</c:v>
                </c:pt>
                <c:pt idx="5">
                  <c:v>7.3364854215918041E-2</c:v>
                </c:pt>
                <c:pt idx="6">
                  <c:v>0.10679848126656637</c:v>
                </c:pt>
                <c:pt idx="7">
                  <c:v>0.1482162045991833</c:v>
                </c:pt>
                <c:pt idx="8">
                  <c:v>0.2136327817178881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ED-4810-890A-1AE1A01ED28E}"/>
            </c:ext>
          </c:extLst>
        </c:ser>
        <c:ser>
          <c:idx val="1"/>
          <c:order val="1"/>
          <c:tx>
            <c:v>pH 8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2.991832004867552E-2"/>
                  <c:y val="0.1161542864968268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</c:trendlineLbl>
          </c:trendline>
          <c:xVal>
            <c:numRef>
              <c:f>czujnik!$B$12:$B$20</c:f>
              <c:numCache>
                <c:formatCode>General</c:formatCode>
                <c:ptCount val="9"/>
                <c:pt idx="0">
                  <c:v>0.2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5</c:v>
                </c:pt>
                <c:pt idx="5">
                  <c:v>10</c:v>
                </c:pt>
                <c:pt idx="6">
                  <c:v>15</c:v>
                </c:pt>
                <c:pt idx="7">
                  <c:v>20</c:v>
                </c:pt>
                <c:pt idx="8">
                  <c:v>30</c:v>
                </c:pt>
              </c:numCache>
            </c:numRef>
          </c:xVal>
          <c:yVal>
            <c:numRef>
              <c:f>czujnik!$I$12:$I$20</c:f>
              <c:numCache>
                <c:formatCode>General</c:formatCode>
                <c:ptCount val="9"/>
                <c:pt idx="0">
                  <c:v>6.3147755569883226E-3</c:v>
                </c:pt>
                <c:pt idx="1">
                  <c:v>9.1661293788953355E-3</c:v>
                </c:pt>
                <c:pt idx="2">
                  <c:v>1.5097786374382119E-2</c:v>
                </c:pt>
                <c:pt idx="3">
                  <c:v>2.6975428039257829E-2</c:v>
                </c:pt>
                <c:pt idx="4">
                  <c:v>6.2042409914750331E-2</c:v>
                </c:pt>
                <c:pt idx="5">
                  <c:v>0.14180098860949925</c:v>
                </c:pt>
                <c:pt idx="6">
                  <c:v>0.21053800415502541</c:v>
                </c:pt>
                <c:pt idx="7">
                  <c:v>0.27236549896124362</c:v>
                </c:pt>
                <c:pt idx="8">
                  <c:v>0.41638011318862378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FED-4810-890A-1AE1A01ED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337424"/>
        <c:axId val="191294608"/>
      </c:scatterChart>
      <c:valAx>
        <c:axId val="191337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1294608"/>
        <c:crosses val="autoZero"/>
        <c:crossBetween val="midCat"/>
      </c:valAx>
      <c:valAx>
        <c:axId val="1912946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200" b="0" i="0" baseline="0">
                    <a:effectLst/>
                  </a:rPr>
                  <a:t>j (mA/cm</a:t>
                </a:r>
                <a:r>
                  <a:rPr lang="pl-PL" sz="1200" b="0" i="0" baseline="30000">
                    <a:effectLst/>
                  </a:rPr>
                  <a:t>2</a:t>
                </a:r>
                <a:r>
                  <a:rPr lang="pl-PL" sz="1200" b="0" i="0" baseline="0">
                    <a:effectLst/>
                  </a:rPr>
                  <a:t>)</a:t>
                </a:r>
                <a:endParaRPr lang="pl-PL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91337424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'stężenie TH i genipin'!$T$38:$T$41</c:f>
                <c:numCache>
                  <c:formatCode>General</c:formatCode>
                  <c:ptCount val="4"/>
                  <c:pt idx="0">
                    <c:v>18.264272202854016</c:v>
                  </c:pt>
                  <c:pt idx="1">
                    <c:v>6.7428441583155252E-2</c:v>
                  </c:pt>
                  <c:pt idx="2">
                    <c:v>119.4450318828932</c:v>
                  </c:pt>
                  <c:pt idx="3">
                    <c:v>101.80694099294774</c:v>
                  </c:pt>
                </c:numCache>
              </c:numRef>
            </c:plus>
            <c:minus>
              <c:numRef>
                <c:f>'stężenie TH i genipin'!$T$38:$T$41</c:f>
                <c:numCache>
                  <c:formatCode>General</c:formatCode>
                  <c:ptCount val="4"/>
                  <c:pt idx="0">
                    <c:v>18.264272202854016</c:v>
                  </c:pt>
                  <c:pt idx="1">
                    <c:v>6.7428441583155252E-2</c:v>
                  </c:pt>
                  <c:pt idx="2">
                    <c:v>119.4450318828932</c:v>
                  </c:pt>
                  <c:pt idx="3">
                    <c:v>101.80694099294774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'stężenie TH i genipin'!$R$38:$R$41</c:f>
              <c:numCache>
                <c:formatCode>General</c:formatCode>
                <c:ptCount val="4"/>
                <c:pt idx="0">
                  <c:v>24</c:v>
                </c:pt>
                <c:pt idx="1">
                  <c:v>16</c:v>
                </c:pt>
                <c:pt idx="2">
                  <c:v>12</c:v>
                </c:pt>
                <c:pt idx="3">
                  <c:v>6</c:v>
                </c:pt>
              </c:numCache>
            </c:numRef>
          </c:xVal>
          <c:yVal>
            <c:numRef>
              <c:f>'stężenie TH i genipin'!$S$38:$S$41</c:f>
              <c:numCache>
                <c:formatCode>General</c:formatCode>
                <c:ptCount val="4"/>
                <c:pt idx="0">
                  <c:v>1636.9367433197219</c:v>
                </c:pt>
                <c:pt idx="1">
                  <c:v>0.57457912457912463</c:v>
                </c:pt>
                <c:pt idx="2">
                  <c:v>1350.3832652768822</c:v>
                </c:pt>
                <c:pt idx="3">
                  <c:v>469.34235976789159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404-4841-BAB2-84FE6A133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1047295"/>
        <c:axId val="1620981007"/>
      </c:scatterChart>
      <c:valAx>
        <c:axId val="1401047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20981007"/>
        <c:crosses val="autoZero"/>
        <c:crossBetween val="midCat"/>
      </c:valAx>
      <c:valAx>
        <c:axId val="1620981007"/>
        <c:scaling>
          <c:orientation val="minMax"/>
          <c:max val="1800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01047295"/>
        <c:crosses val="autoZero"/>
        <c:crossBetween val="midCat"/>
        <c:majorUnit val="4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4" Type="http://schemas.openxmlformats.org/officeDocument/2006/relationships/chart" Target="../charts/chart2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83128</xdr:colOff>
      <xdr:row>10</xdr:row>
      <xdr:rowOff>161406</xdr:rowOff>
    </xdr:from>
    <xdr:to>
      <xdr:col>29</xdr:col>
      <xdr:colOff>387928</xdr:colOff>
      <xdr:row>26</xdr:row>
      <xdr:rowOff>27710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5724396-5D0A-4C0E-90D5-7759455BAB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604522</xdr:colOff>
      <xdr:row>45</xdr:row>
      <xdr:rowOff>10855</xdr:rowOff>
    </xdr:from>
    <xdr:to>
      <xdr:col>23</xdr:col>
      <xdr:colOff>299722</xdr:colOff>
      <xdr:row>63</xdr:row>
      <xdr:rowOff>10854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1EC27285-9422-48E6-A5F7-800ACBF5C5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69994</xdr:colOff>
      <xdr:row>26</xdr:row>
      <xdr:rowOff>81027</xdr:rowOff>
    </xdr:from>
    <xdr:to>
      <xdr:col>30</xdr:col>
      <xdr:colOff>117231</xdr:colOff>
      <xdr:row>52</xdr:row>
      <xdr:rowOff>58615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149FE7AA-9EB5-49CE-A660-34CC2447D5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171882</xdr:colOff>
      <xdr:row>26</xdr:row>
      <xdr:rowOff>75855</xdr:rowOff>
    </xdr:from>
    <xdr:to>
      <xdr:col>10</xdr:col>
      <xdr:colOff>410308</xdr:colOff>
      <xdr:row>52</xdr:row>
      <xdr:rowOff>87923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9AE45A19-5E5E-4191-96D6-A441B4E332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27239</xdr:colOff>
      <xdr:row>26</xdr:row>
      <xdr:rowOff>96887</xdr:rowOff>
    </xdr:from>
    <xdr:to>
      <xdr:col>20</xdr:col>
      <xdr:colOff>395654</xdr:colOff>
      <xdr:row>52</xdr:row>
      <xdr:rowOff>73269</xdr:rowOff>
    </xdr:to>
    <xdr:graphicFrame macro="">
      <xdr:nvGraphicFramePr>
        <xdr:cNvPr id="8" name="Wykres 7">
          <a:extLst>
            <a:ext uri="{FF2B5EF4-FFF2-40B4-BE49-F238E27FC236}">
              <a16:creationId xmlns:a16="http://schemas.microsoft.com/office/drawing/2014/main" id="{A3918D25-607B-4660-B370-2D33C5FB95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13276</xdr:colOff>
      <xdr:row>26</xdr:row>
      <xdr:rowOff>96198</xdr:rowOff>
    </xdr:from>
    <xdr:to>
      <xdr:col>40</xdr:col>
      <xdr:colOff>14654</xdr:colOff>
      <xdr:row>52</xdr:row>
      <xdr:rowOff>58615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5BC60C60-C025-4C6D-8832-6A519A9090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315687</xdr:colOff>
      <xdr:row>54</xdr:row>
      <xdr:rowOff>76199</xdr:rowOff>
    </xdr:from>
    <xdr:to>
      <xdr:col>29</xdr:col>
      <xdr:colOff>359228</xdr:colOff>
      <xdr:row>87</xdr:row>
      <xdr:rowOff>32657</xdr:rowOff>
    </xdr:to>
    <xdr:graphicFrame macro="">
      <xdr:nvGraphicFramePr>
        <xdr:cNvPr id="9" name="Wykres 8">
          <a:extLst>
            <a:ext uri="{FF2B5EF4-FFF2-40B4-BE49-F238E27FC236}">
              <a16:creationId xmlns:a16="http://schemas.microsoft.com/office/drawing/2014/main" id="{5FC0C488-5EEC-48CD-B7EC-EE46B9DA64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544286</xdr:colOff>
      <xdr:row>89</xdr:row>
      <xdr:rowOff>152400</xdr:rowOff>
    </xdr:from>
    <xdr:to>
      <xdr:col>15</xdr:col>
      <xdr:colOff>195941</xdr:colOff>
      <xdr:row>121</xdr:row>
      <xdr:rowOff>108856</xdr:rowOff>
    </xdr:to>
    <xdr:graphicFrame macro="">
      <xdr:nvGraphicFramePr>
        <xdr:cNvPr id="10" name="Wykres 9">
          <a:extLst>
            <a:ext uri="{FF2B5EF4-FFF2-40B4-BE49-F238E27FC236}">
              <a16:creationId xmlns:a16="http://schemas.microsoft.com/office/drawing/2014/main" id="{06C6FAA3-080A-4AE6-9CB1-72938CBB00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589312</xdr:colOff>
      <xdr:row>28</xdr:row>
      <xdr:rowOff>162303</xdr:rowOff>
    </xdr:from>
    <xdr:to>
      <xdr:col>29</xdr:col>
      <xdr:colOff>94012</xdr:colOff>
      <xdr:row>45</xdr:row>
      <xdr:rowOff>139443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54AF3D05-D482-464E-B57A-062AA3C2B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143692</xdr:colOff>
      <xdr:row>0</xdr:row>
      <xdr:rowOff>78922</xdr:rowOff>
    </xdr:from>
    <xdr:to>
      <xdr:col>36</xdr:col>
      <xdr:colOff>448492</xdr:colOff>
      <xdr:row>27</xdr:row>
      <xdr:rowOff>78922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25BA94DA-9197-4758-8246-5C26BB1245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4483</xdr:colOff>
      <xdr:row>55</xdr:row>
      <xdr:rowOff>13446</xdr:rowOff>
    </xdr:from>
    <xdr:to>
      <xdr:col>33</xdr:col>
      <xdr:colOff>309283</xdr:colOff>
      <xdr:row>70</xdr:row>
      <xdr:rowOff>67234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C7C64641-B85A-41D2-A462-A6FA8286A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13447</xdr:colOff>
      <xdr:row>71</xdr:row>
      <xdr:rowOff>165848</xdr:rowOff>
    </xdr:from>
    <xdr:to>
      <xdr:col>33</xdr:col>
      <xdr:colOff>318247</xdr:colOff>
      <xdr:row>87</xdr:row>
      <xdr:rowOff>40342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2412D1AE-586E-447A-BF9F-0DFB1E4C8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25</xdr:col>
      <xdr:colOff>608318</xdr:colOff>
      <xdr:row>98</xdr:row>
      <xdr:rowOff>16008</xdr:rowOff>
    </xdr:from>
    <xdr:to>
      <xdr:col>36</xdr:col>
      <xdr:colOff>326571</xdr:colOff>
      <xdr:row>119</xdr:row>
      <xdr:rowOff>21771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EC2E44DC-2E1D-405A-81DD-413091031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313510</xdr:colOff>
      <xdr:row>31</xdr:row>
      <xdr:rowOff>35924</xdr:rowOff>
    </xdr:from>
    <xdr:to>
      <xdr:col>37</xdr:col>
      <xdr:colOff>269966</xdr:colOff>
      <xdr:row>48</xdr:row>
      <xdr:rowOff>57695</xdr:rowOff>
    </xdr:to>
    <xdr:graphicFrame macro="">
      <xdr:nvGraphicFramePr>
        <xdr:cNvPr id="8" name="Wykres 7">
          <a:extLst>
            <a:ext uri="{FF2B5EF4-FFF2-40B4-BE49-F238E27FC236}">
              <a16:creationId xmlns:a16="http://schemas.microsoft.com/office/drawing/2014/main" id="{BD229460-44AB-457F-B50E-0071D284E4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37</xdr:col>
      <xdr:colOff>66675</xdr:colOff>
      <xdr:row>0</xdr:row>
      <xdr:rowOff>66675</xdr:rowOff>
    </xdr:from>
    <xdr:to>
      <xdr:col>44</xdr:col>
      <xdr:colOff>371475</xdr:colOff>
      <xdr:row>27</xdr:row>
      <xdr:rowOff>66675</xdr:rowOff>
    </xdr:to>
    <xdr:graphicFrame macro="">
      <xdr:nvGraphicFramePr>
        <xdr:cNvPr id="9" name="Wykres 8">
          <a:extLst>
            <a:ext uri="{FF2B5EF4-FFF2-40B4-BE49-F238E27FC236}">
              <a16:creationId xmlns:a16="http://schemas.microsoft.com/office/drawing/2014/main" id="{C43433A5-DA00-4A83-94A1-EB0537BA6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156882</xdr:colOff>
      <xdr:row>5</xdr:row>
      <xdr:rowOff>94128</xdr:rowOff>
    </xdr:from>
    <xdr:to>
      <xdr:col>32</xdr:col>
      <xdr:colOff>461682</xdr:colOff>
      <xdr:row>20</xdr:row>
      <xdr:rowOff>147917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614BB0A1-0618-4B7C-81E5-AFCAE2A04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143435</xdr:colOff>
      <xdr:row>6</xdr:row>
      <xdr:rowOff>116542</xdr:rowOff>
    </xdr:from>
    <xdr:to>
      <xdr:col>27</xdr:col>
      <xdr:colOff>439271</xdr:colOff>
      <xdr:row>8</xdr:row>
      <xdr:rowOff>17929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7C9A742-7E5A-48C5-8D2B-03E128F4E3F6}"/>
            </a:ext>
          </a:extLst>
        </xdr:cNvPr>
        <xdr:cNvSpPr txBox="1"/>
      </xdr:nvSpPr>
      <xdr:spPr>
        <a:xfrm>
          <a:off x="15993035" y="1192307"/>
          <a:ext cx="905436" cy="259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Graphite</a:t>
          </a: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0.43072</cdr:x>
      <cdr:y>0.22113</cdr:y>
    </cdr:from>
    <cdr:to>
      <cdr:x>0.62876</cdr:x>
      <cdr:y>0.3159</cdr:y>
    </cdr:to>
    <cdr:sp macro="" textlink="">
      <cdr:nvSpPr>
        <cdr:cNvPr id="2" name="pole tekstowe 4">
          <a:extLst xmlns:a="http://schemas.openxmlformats.org/drawingml/2006/main">
            <a:ext uri="{FF2B5EF4-FFF2-40B4-BE49-F238E27FC236}">
              <a16:creationId xmlns:a16="http://schemas.microsoft.com/office/drawing/2014/main" id="{07C9A742-7E5A-48C5-8D2B-03E128F4E3F6}"/>
            </a:ext>
          </a:extLst>
        </cdr:cNvPr>
        <cdr:cNvSpPr txBox="1"/>
      </cdr:nvSpPr>
      <cdr:spPr>
        <a:xfrm xmlns:a="http://schemas.openxmlformats.org/drawingml/2006/main">
          <a:off x="1969246" y="606612"/>
          <a:ext cx="905436" cy="2599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Ag</a:t>
          </a:r>
        </a:p>
      </cdr:txBody>
    </cdr:sp>
  </cdr:relSizeAnchor>
  <cdr:relSizeAnchor xmlns:cdr="http://schemas.openxmlformats.org/drawingml/2006/chartDrawing">
    <cdr:from>
      <cdr:x>0.74444</cdr:x>
      <cdr:y>0.34205</cdr:y>
    </cdr:from>
    <cdr:to>
      <cdr:x>0.94248</cdr:x>
      <cdr:y>0.43682</cdr:y>
    </cdr:to>
    <cdr:sp macro="" textlink="">
      <cdr:nvSpPr>
        <cdr:cNvPr id="3" name="pole tekstowe 4">
          <a:extLst xmlns:a="http://schemas.openxmlformats.org/drawingml/2006/main">
            <a:ext uri="{FF2B5EF4-FFF2-40B4-BE49-F238E27FC236}">
              <a16:creationId xmlns:a16="http://schemas.microsoft.com/office/drawing/2014/main" id="{45CC2330-8094-4908-85C9-AAD485727F94}"/>
            </a:ext>
          </a:extLst>
        </cdr:cNvPr>
        <cdr:cNvSpPr txBox="1"/>
      </cdr:nvSpPr>
      <cdr:spPr>
        <a:xfrm xmlns:a="http://schemas.openxmlformats.org/drawingml/2006/main">
          <a:off x="3403600" y="938306"/>
          <a:ext cx="905436" cy="2599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Au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34113</xdr:colOff>
      <xdr:row>0</xdr:row>
      <xdr:rowOff>0</xdr:rowOff>
    </xdr:from>
    <xdr:to>
      <xdr:col>29</xdr:col>
      <xdr:colOff>581891</xdr:colOff>
      <xdr:row>21</xdr:row>
      <xdr:rowOff>91867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3206035C-E9D0-4306-BFD1-F2245465A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124690</xdr:colOff>
      <xdr:row>18</xdr:row>
      <xdr:rowOff>180107</xdr:rowOff>
    </xdr:from>
    <xdr:to>
      <xdr:col>15</xdr:col>
      <xdr:colOff>193963</xdr:colOff>
      <xdr:row>41</xdr:row>
      <xdr:rowOff>152399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2A9975A6-A677-4743-9DBC-F003CB8F31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326572</xdr:colOff>
      <xdr:row>43</xdr:row>
      <xdr:rowOff>141514</xdr:rowOff>
    </xdr:from>
    <xdr:to>
      <xdr:col>32</xdr:col>
      <xdr:colOff>504702</xdr:colOff>
      <xdr:row>66</xdr:row>
      <xdr:rowOff>113806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E3C99632-8F96-4962-BD17-EB4D0E64A3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9696</xdr:rowOff>
    </xdr:from>
    <xdr:to>
      <xdr:col>10</xdr:col>
      <xdr:colOff>12883</xdr:colOff>
      <xdr:row>62</xdr:row>
      <xdr:rowOff>163284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2B71BB3D-008A-4941-89B6-0F9F634D95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370114</xdr:colOff>
      <xdr:row>40</xdr:row>
      <xdr:rowOff>54251</xdr:rowOff>
    </xdr:from>
    <xdr:to>
      <xdr:col>32</xdr:col>
      <xdr:colOff>517566</xdr:colOff>
      <xdr:row>68</xdr:row>
      <xdr:rowOff>163285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6BDDEF8-54CB-4F0E-9B06-EA327F2720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576943</xdr:colOff>
      <xdr:row>0</xdr:row>
      <xdr:rowOff>43543</xdr:rowOff>
    </xdr:from>
    <xdr:to>
      <xdr:col>36</xdr:col>
      <xdr:colOff>436011</xdr:colOff>
      <xdr:row>29</xdr:row>
      <xdr:rowOff>54429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677A04A0-0A66-49EB-8228-37F7F5D13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43896</xdr:colOff>
      <xdr:row>2</xdr:row>
      <xdr:rowOff>58392</xdr:rowOff>
    </xdr:from>
    <xdr:to>
      <xdr:col>12</xdr:col>
      <xdr:colOff>598713</xdr:colOff>
      <xdr:row>20</xdr:row>
      <xdr:rowOff>76201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9E5F9347-96E3-4C5D-B8D6-4D1BAEDE90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138700</xdr:colOff>
      <xdr:row>0</xdr:row>
      <xdr:rowOff>0</xdr:rowOff>
    </xdr:from>
    <xdr:to>
      <xdr:col>17</xdr:col>
      <xdr:colOff>427876</xdr:colOff>
      <xdr:row>21</xdr:row>
      <xdr:rowOff>115609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34A10F0E-6E70-4FFB-B0BE-8A1B532D5E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169334</xdr:colOff>
      <xdr:row>22</xdr:row>
      <xdr:rowOff>75430</xdr:rowOff>
    </xdr:from>
    <xdr:to>
      <xdr:col>18</xdr:col>
      <xdr:colOff>484910</xdr:colOff>
      <xdr:row>42</xdr:row>
      <xdr:rowOff>53878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16993465-EA99-49C6-896D-FFF3DBEA13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579120</xdr:colOff>
      <xdr:row>12</xdr:row>
      <xdr:rowOff>175260</xdr:rowOff>
    </xdr:from>
    <xdr:to>
      <xdr:col>29</xdr:col>
      <xdr:colOff>274320</xdr:colOff>
      <xdr:row>27</xdr:row>
      <xdr:rowOff>175260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A8A0517A-D580-4A7D-A3EB-0692A45D77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RY%20LAPTOP/nowe%20elektrody/artykul/Molecules/nowe%20badania/krzywa%20alibracyj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  <sheetName val="Arkusz3"/>
      <sheetName val="Arkusz4"/>
      <sheetName val="czujnik"/>
    </sheetNames>
    <sheetDataSet>
      <sheetData sheetId="0"/>
      <sheetData sheetId="1"/>
      <sheetData sheetId="2">
        <row r="2">
          <cell r="E2">
            <v>9.3060000000000004E-2</v>
          </cell>
        </row>
      </sheetData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4A938-F53C-4162-9CD1-567120E9F492}">
  <dimension ref="A1:T61"/>
  <sheetViews>
    <sheetView tabSelected="1" zoomScale="70" zoomScaleNormal="70" workbookViewId="0"/>
  </sheetViews>
  <sheetFormatPr defaultRowHeight="15" x14ac:dyDescent="0.25"/>
  <cols>
    <col min="2" max="2" width="15.85546875" customWidth="1"/>
    <col min="3" max="3" width="10.85546875" customWidth="1"/>
  </cols>
  <sheetData>
    <row r="1" spans="1:20" x14ac:dyDescent="0.25">
      <c r="A1" t="s">
        <v>148</v>
      </c>
      <c r="E1">
        <v>9.3060000000000004E-2</v>
      </c>
      <c r="M1" t="s">
        <v>5</v>
      </c>
    </row>
    <row r="2" spans="1:20" x14ac:dyDescent="0.25">
      <c r="M2" t="s">
        <v>6</v>
      </c>
    </row>
    <row r="3" spans="1:20" x14ac:dyDescent="0.25">
      <c r="F3" t="s">
        <v>1</v>
      </c>
      <c r="M3" t="s">
        <v>7</v>
      </c>
    </row>
    <row r="5" spans="1:20" x14ac:dyDescent="0.25">
      <c r="A5" s="1"/>
      <c r="B5" s="1" t="s">
        <v>10</v>
      </c>
      <c r="C5" s="1"/>
      <c r="D5" s="1"/>
      <c r="E5" s="1"/>
      <c r="F5" s="2"/>
      <c r="I5" s="1"/>
      <c r="J5" s="1" t="s">
        <v>4</v>
      </c>
      <c r="K5" s="1"/>
      <c r="L5" s="1"/>
      <c r="M5" s="1"/>
      <c r="N5" s="2"/>
    </row>
    <row r="6" spans="1:20" x14ac:dyDescent="0.25">
      <c r="A6" s="1"/>
      <c r="B6" s="1" t="s">
        <v>2</v>
      </c>
      <c r="C6" s="1" t="s">
        <v>57</v>
      </c>
      <c r="D6" s="1" t="s">
        <v>58</v>
      </c>
      <c r="E6" s="3"/>
      <c r="F6" s="1"/>
      <c r="I6" s="1"/>
      <c r="J6" s="1" t="s">
        <v>2</v>
      </c>
      <c r="K6" s="1"/>
      <c r="L6" s="1" t="s">
        <v>57</v>
      </c>
      <c r="M6" s="3" t="s">
        <v>58</v>
      </c>
      <c r="N6" s="1"/>
    </row>
    <row r="7" spans="1:20" x14ac:dyDescent="0.25">
      <c r="A7" s="1"/>
      <c r="B7" s="32" t="s">
        <v>8</v>
      </c>
      <c r="C7" s="32" t="s">
        <v>9</v>
      </c>
      <c r="D7" s="2" t="s">
        <v>8</v>
      </c>
      <c r="E7" s="2" t="s">
        <v>9</v>
      </c>
      <c r="I7" s="1"/>
      <c r="J7" s="2" t="s">
        <v>8</v>
      </c>
      <c r="K7" s="2" t="s">
        <v>9</v>
      </c>
      <c r="L7" s="2" t="s">
        <v>8</v>
      </c>
      <c r="M7" s="2" t="s">
        <v>9</v>
      </c>
      <c r="N7" t="s">
        <v>13</v>
      </c>
      <c r="Q7" t="s">
        <v>136</v>
      </c>
      <c r="R7" s="2" t="s">
        <v>9</v>
      </c>
      <c r="S7" t="s">
        <v>3</v>
      </c>
    </row>
    <row r="8" spans="1:20" x14ac:dyDescent="0.25">
      <c r="A8" s="4">
        <v>1</v>
      </c>
      <c r="B8" s="33">
        <v>0.155</v>
      </c>
      <c r="C8" s="33">
        <f>B8/$E$1</f>
        <v>1.6655920911240059</v>
      </c>
      <c r="D8" s="9">
        <v>8.6349999999999996E-2</v>
      </c>
      <c r="E8" s="9">
        <f>D8/$E$1</f>
        <v>0.9278959810874704</v>
      </c>
      <c r="I8" s="4">
        <v>1</v>
      </c>
      <c r="J8" s="33">
        <v>0.105</v>
      </c>
      <c r="K8" s="33">
        <f>J8/$E$1</f>
        <v>1.1283043197936815</v>
      </c>
      <c r="L8" s="3">
        <v>2.07E-2</v>
      </c>
      <c r="M8" s="3">
        <f>L8/$E$1</f>
        <v>0.22243713733075435</v>
      </c>
      <c r="Q8">
        <v>5</v>
      </c>
      <c r="R8" s="5">
        <f>M24</f>
        <v>0.76989755713159969</v>
      </c>
      <c r="S8" s="5">
        <f>M25</f>
        <v>0.11831834184568434</v>
      </c>
      <c r="T8" t="s">
        <v>18</v>
      </c>
    </row>
    <row r="9" spans="1:20" x14ac:dyDescent="0.25">
      <c r="A9" s="1">
        <v>2</v>
      </c>
      <c r="B9" s="33">
        <v>0.153</v>
      </c>
      <c r="C9" s="33">
        <f t="shared" ref="C9:C11" si="0">B9/$E$1</f>
        <v>1.6441005802707929</v>
      </c>
      <c r="D9" s="9">
        <v>8.8919999999999999E-2</v>
      </c>
      <c r="E9" s="9">
        <f t="shared" ref="E9:E11" si="1">D9/$E$1</f>
        <v>0.95551257253384903</v>
      </c>
      <c r="I9" s="1">
        <v>2</v>
      </c>
      <c r="J9" s="33">
        <v>0.09</v>
      </c>
      <c r="K9" s="33">
        <f t="shared" ref="K9:K11" si="2">J9/$E$1</f>
        <v>0.96711798839458407</v>
      </c>
      <c r="L9" s="3">
        <v>2.1340000000000001E-2</v>
      </c>
      <c r="M9" s="3">
        <f t="shared" ref="M9:M10" si="3">L9/$E$1</f>
        <v>0.2293144208037825</v>
      </c>
      <c r="Q9">
        <v>6</v>
      </c>
      <c r="R9" s="5">
        <f>E23</f>
        <v>0.652983738090121</v>
      </c>
      <c r="S9" s="5">
        <f>E24</f>
        <v>0.15144602080668818</v>
      </c>
    </row>
    <row r="10" spans="1:20" x14ac:dyDescent="0.25">
      <c r="A10" s="1">
        <v>3</v>
      </c>
      <c r="B10" s="33">
        <v>0.151</v>
      </c>
      <c r="C10" s="33">
        <f t="shared" si="0"/>
        <v>1.6226090694175799</v>
      </c>
      <c r="D10" s="9">
        <v>8.5650000000000004E-2</v>
      </c>
      <c r="E10" s="9">
        <f t="shared" si="1"/>
        <v>0.92037395228884589</v>
      </c>
      <c r="I10" s="1">
        <v>3</v>
      </c>
      <c r="J10" s="33">
        <v>8.8999999999999996E-2</v>
      </c>
      <c r="K10" s="33">
        <f t="shared" si="2"/>
        <v>0.95637223296797758</v>
      </c>
      <c r="L10" s="3">
        <v>1.8700000000000001E-2</v>
      </c>
      <c r="M10" s="3">
        <f t="shared" si="3"/>
        <v>0.20094562647754138</v>
      </c>
      <c r="Q10" s="6">
        <v>7</v>
      </c>
      <c r="R10" s="20">
        <f>E12</f>
        <v>0.93459416863672173</v>
      </c>
      <c r="S10" s="20">
        <f>E13</f>
        <v>1.5106950839803193E-2</v>
      </c>
    </row>
    <row r="11" spans="1:20" x14ac:dyDescent="0.25">
      <c r="A11" s="1">
        <v>4</v>
      </c>
      <c r="B11" s="33">
        <v>0.13500000000000001</v>
      </c>
      <c r="C11" s="33">
        <f t="shared" si="0"/>
        <v>1.4506769825918762</v>
      </c>
      <c r="D11" s="9">
        <v>7.6300000000000007E-2</v>
      </c>
      <c r="E11" s="9">
        <f t="shared" si="1"/>
        <v>0.81990113905007522</v>
      </c>
      <c r="I11" s="1">
        <v>4</v>
      </c>
      <c r="J11" s="33">
        <v>7.5999999999999998E-2</v>
      </c>
      <c r="K11" s="33">
        <f t="shared" si="2"/>
        <v>0.81667741242209324</v>
      </c>
      <c r="L11" s="3">
        <v>9.4000000000000004E-3</v>
      </c>
      <c r="M11" s="3"/>
      <c r="Q11">
        <v>8</v>
      </c>
      <c r="R11" s="5">
        <f>M12</f>
        <v>0.21756572820402606</v>
      </c>
      <c r="S11" s="5">
        <f>M13</f>
        <v>1.2082910605234188E-2</v>
      </c>
    </row>
    <row r="12" spans="1:20" x14ac:dyDescent="0.25">
      <c r="A12" s="1" t="s">
        <v>11</v>
      </c>
      <c r="B12" s="33">
        <f>AVERAGE(B8:B10)</f>
        <v>0.153</v>
      </c>
      <c r="C12" s="33">
        <f>AVERAGE(C8:C10)</f>
        <v>1.6441005802707929</v>
      </c>
      <c r="D12" s="9">
        <f>AVERAGE(D8:D10)</f>
        <v>8.6973333333333333E-2</v>
      </c>
      <c r="E12" s="9">
        <f>AVERAGE(E8:E10)</f>
        <v>0.93459416863672173</v>
      </c>
      <c r="I12" s="1" t="s">
        <v>11</v>
      </c>
      <c r="J12" s="33">
        <f>AVERAGE(J9:J11)</f>
        <v>8.5000000000000006E-2</v>
      </c>
      <c r="K12" s="33">
        <f>AVERAGE(K9:K11)</f>
        <v>0.9133892112615517</v>
      </c>
      <c r="L12" s="3">
        <f>AVERAGE(L8:L10)</f>
        <v>2.0246666666666666E-2</v>
      </c>
      <c r="M12" s="3">
        <f>AVERAGE(M8:M10)</f>
        <v>0.21756572820402606</v>
      </c>
    </row>
    <row r="13" spans="1:20" x14ac:dyDescent="0.25">
      <c r="A13" s="1" t="s">
        <v>12</v>
      </c>
      <c r="B13" s="33">
        <f>_xlfn.STDEV.P(B8:B10)</f>
        <v>1.6329931618554536E-3</v>
      </c>
      <c r="C13" s="33">
        <f>_xlfn.STDEV.P(C8:C10)</f>
        <v>1.7547745130619522E-2</v>
      </c>
      <c r="D13" s="9">
        <f>_xlfn.STDEV.P(D8:D10)</f>
        <v>1.4058528451520874E-3</v>
      </c>
      <c r="E13" s="9">
        <f>_xlfn.STDEV.P(E8:E10)</f>
        <v>1.5106950839803193E-2</v>
      </c>
      <c r="I13" s="1" t="s">
        <v>12</v>
      </c>
      <c r="J13" s="33">
        <f>_xlfn.STDEV.P(J9:J11)</f>
        <v>6.3770421565696629E-3</v>
      </c>
      <c r="K13" s="33">
        <f>_xlfn.STDEV.P(K9:K11)</f>
        <v>6.8526135359656806E-2</v>
      </c>
      <c r="L13" s="1">
        <f>_xlfn.STDEV.P(L8:L10)</f>
        <v>1.1244356609230938E-3</v>
      </c>
      <c r="M13" s="1">
        <f>_xlfn.STDEV.P(M8:M10)</f>
        <v>1.2082910605234188E-2</v>
      </c>
    </row>
    <row r="17" spans="1:14" x14ac:dyDescent="0.25">
      <c r="A17" s="1"/>
      <c r="B17" s="1" t="s">
        <v>15</v>
      </c>
      <c r="C17" s="1"/>
      <c r="D17" s="1"/>
      <c r="E17" s="1"/>
      <c r="F17" s="2"/>
      <c r="I17" s="1"/>
      <c r="J17" s="1" t="s">
        <v>16</v>
      </c>
      <c r="K17" s="1"/>
      <c r="L17" s="1"/>
      <c r="M17" s="1"/>
      <c r="N17" s="2"/>
    </row>
    <row r="18" spans="1:14" x14ac:dyDescent="0.25">
      <c r="A18" s="1"/>
      <c r="B18" s="1" t="s">
        <v>2</v>
      </c>
      <c r="C18" s="1" t="s">
        <v>57</v>
      </c>
      <c r="D18" s="1" t="s">
        <v>58</v>
      </c>
      <c r="E18" t="s">
        <v>14</v>
      </c>
      <c r="F18" s="1"/>
      <c r="I18" s="1"/>
      <c r="J18" s="1" t="s">
        <v>2</v>
      </c>
      <c r="K18" t="s">
        <v>17</v>
      </c>
      <c r="L18" s="1" t="s">
        <v>57</v>
      </c>
      <c r="M18" s="3" t="s">
        <v>58</v>
      </c>
      <c r="N18" s="1"/>
    </row>
    <row r="19" spans="1:14" x14ac:dyDescent="0.25">
      <c r="A19" s="1"/>
      <c r="B19" s="2" t="s">
        <v>8</v>
      </c>
      <c r="C19" s="2" t="s">
        <v>9</v>
      </c>
      <c r="D19" s="2" t="s">
        <v>8</v>
      </c>
      <c r="E19" s="2" t="s">
        <v>9</v>
      </c>
      <c r="I19" s="1"/>
      <c r="J19" s="2" t="s">
        <v>8</v>
      </c>
      <c r="K19" s="2" t="s">
        <v>9</v>
      </c>
      <c r="L19" s="2" t="s">
        <v>8</v>
      </c>
      <c r="M19" s="2" t="s">
        <v>9</v>
      </c>
    </row>
    <row r="20" spans="1:14" x14ac:dyDescent="0.25">
      <c r="A20" s="4">
        <v>1</v>
      </c>
      <c r="B20" s="33">
        <v>0.158</v>
      </c>
      <c r="C20" s="33">
        <f>B20/$E$1</f>
        <v>1.6978293574038255</v>
      </c>
      <c r="D20" s="3">
        <v>7.7299999999999994E-2</v>
      </c>
      <c r="E20" s="3">
        <f>D20/$E$1</f>
        <v>0.83064689447668161</v>
      </c>
      <c r="I20" s="4">
        <v>1</v>
      </c>
      <c r="J20" s="33">
        <v>0.16300000000000001</v>
      </c>
      <c r="K20" s="33">
        <f>J20/$E$1</f>
        <v>1.7515581345368578</v>
      </c>
      <c r="L20">
        <v>8.4580000000000002E-2</v>
      </c>
      <c r="M20">
        <f>L20/$E$1</f>
        <v>0.90887599398237695</v>
      </c>
    </row>
    <row r="21" spans="1:14" x14ac:dyDescent="0.25">
      <c r="A21" s="1">
        <v>2</v>
      </c>
      <c r="B21" s="33">
        <v>0.13700000000000001</v>
      </c>
      <c r="C21" s="33">
        <f t="shared" ref="C21:C22" si="4">B21/$E$1</f>
        <v>1.4721684934450892</v>
      </c>
      <c r="D21" s="3">
        <v>6.2140000000000001E-2</v>
      </c>
      <c r="E21" s="3">
        <f t="shared" ref="E21:E22" si="5">D21/$E$1</f>
        <v>0.66774124220932729</v>
      </c>
      <c r="I21" s="1">
        <v>2</v>
      </c>
      <c r="J21" s="33">
        <v>0.157</v>
      </c>
      <c r="K21" s="33">
        <f t="shared" ref="K21:K23" si="6">J21/$E$1</f>
        <v>1.6870836019772188</v>
      </c>
      <c r="L21" s="3">
        <v>7.2690000000000005E-2</v>
      </c>
      <c r="M21">
        <f t="shared" ref="M21:M22" si="7">L21/$E$1</f>
        <v>0.78110896196002577</v>
      </c>
    </row>
    <row r="22" spans="1:14" x14ac:dyDescent="0.25">
      <c r="A22" s="1">
        <v>3</v>
      </c>
      <c r="B22" s="33">
        <v>0.107</v>
      </c>
      <c r="C22" s="33">
        <f t="shared" si="4"/>
        <v>1.1497958306468945</v>
      </c>
      <c r="D22" s="3">
        <v>4.2860000000000002E-2</v>
      </c>
      <c r="E22" s="3">
        <f t="shared" si="5"/>
        <v>0.46056307758435416</v>
      </c>
      <c r="I22" s="1">
        <v>3</v>
      </c>
      <c r="J22" s="33">
        <v>0.129</v>
      </c>
      <c r="K22" s="33">
        <f t="shared" si="6"/>
        <v>1.3862024500322372</v>
      </c>
      <c r="L22" s="3">
        <v>5.7669999999999999E-2</v>
      </c>
      <c r="M22">
        <f t="shared" si="7"/>
        <v>0.61970771545239622</v>
      </c>
    </row>
    <row r="23" spans="1:14" x14ac:dyDescent="0.25">
      <c r="A23" s="1" t="s">
        <v>11</v>
      </c>
      <c r="B23" s="33">
        <f>AVERAGE(B21:B22)</f>
        <v>0.122</v>
      </c>
      <c r="C23" s="33">
        <f>AVERAGE(C21:C22)</f>
        <v>1.3109821620459918</v>
      </c>
      <c r="D23" s="3">
        <f>AVERAGE(D20:D22)</f>
        <v>6.076666666666667E-2</v>
      </c>
      <c r="E23" s="3">
        <f>AVERAGE(E20:E22)</f>
        <v>0.652983738090121</v>
      </c>
      <c r="I23" s="1">
        <v>4</v>
      </c>
      <c r="J23" s="33">
        <v>0.127</v>
      </c>
      <c r="K23" s="33">
        <f t="shared" si="6"/>
        <v>1.3647109391790242</v>
      </c>
      <c r="L23" s="3"/>
      <c r="M23" s="3"/>
    </row>
    <row r="24" spans="1:14" x14ac:dyDescent="0.25">
      <c r="A24" s="1" t="s">
        <v>12</v>
      </c>
      <c r="B24" s="33">
        <f>_xlfn.STDEV.P(B21:B22)</f>
        <v>1.5000000000000041E-2</v>
      </c>
      <c r="C24" s="33">
        <f>_xlfn.STDEV.P(C21:C22)</f>
        <v>0.16118633139909777</v>
      </c>
      <c r="D24" s="1">
        <f>_xlfn.STDEV.P(D20:D22)</f>
        <v>1.4093566696270399E-2</v>
      </c>
      <c r="E24" s="1">
        <f>_xlfn.STDEV.P(E20:E22)</f>
        <v>0.15144602080668818</v>
      </c>
      <c r="I24" s="1" t="s">
        <v>11</v>
      </c>
      <c r="J24" s="33">
        <f>AVERAGE(J21:J23)</f>
        <v>0.13766666666666669</v>
      </c>
      <c r="K24" s="33">
        <f>AVERAGE(K21:K23)</f>
        <v>1.4793323303961599</v>
      </c>
      <c r="L24" s="1">
        <f>AVERAGE(L20:L22)</f>
        <v>7.1646666666666678E-2</v>
      </c>
      <c r="M24" s="1">
        <f>AVERAGE(M20:M22)</f>
        <v>0.76989755713159969</v>
      </c>
    </row>
    <row r="25" spans="1:14" x14ac:dyDescent="0.25">
      <c r="E25" s="1"/>
      <c r="I25" s="1" t="s">
        <v>12</v>
      </c>
      <c r="J25" s="33">
        <f>_xlfn.STDEV.P(J21:J23)</f>
        <v>1.3695092389449423E-2</v>
      </c>
      <c r="K25" s="33">
        <f>_xlfn.STDEV.P(K21:K23)</f>
        <v>0.14716411336180338</v>
      </c>
      <c r="L25" s="1">
        <f>_xlfn.STDEV.P(L20:L22)</f>
        <v>1.1010704892159343E-2</v>
      </c>
      <c r="M25" s="1">
        <f>_xlfn.STDEV.P(M20:M22)</f>
        <v>0.11831834184568434</v>
      </c>
    </row>
    <row r="28" spans="1:14" x14ac:dyDescent="0.25">
      <c r="F28" t="s">
        <v>19</v>
      </c>
      <c r="K28" t="s">
        <v>20</v>
      </c>
      <c r="M28" t="s">
        <v>26</v>
      </c>
      <c r="N28" t="s">
        <v>27</v>
      </c>
    </row>
    <row r="30" spans="1:14" x14ac:dyDescent="0.25">
      <c r="A30" t="s">
        <v>147</v>
      </c>
      <c r="E30">
        <v>9.3060000000000004E-2</v>
      </c>
      <c r="M30" t="s">
        <v>5</v>
      </c>
    </row>
    <row r="31" spans="1:14" x14ac:dyDescent="0.25">
      <c r="M31" t="s">
        <v>6</v>
      </c>
    </row>
    <row r="32" spans="1:14" x14ac:dyDescent="0.25">
      <c r="F32" t="s">
        <v>19</v>
      </c>
      <c r="M32" t="s">
        <v>21</v>
      </c>
    </row>
    <row r="33" spans="1:19" x14ac:dyDescent="0.25">
      <c r="B33" t="s">
        <v>22</v>
      </c>
      <c r="J33" t="s">
        <v>23</v>
      </c>
    </row>
    <row r="34" spans="1:19" x14ac:dyDescent="0.25">
      <c r="A34" s="1"/>
      <c r="B34" s="1" t="s">
        <v>10</v>
      </c>
      <c r="C34" s="1"/>
      <c r="D34" s="1"/>
      <c r="E34" s="1"/>
      <c r="F34" s="2"/>
      <c r="I34" s="1"/>
      <c r="J34" s="1" t="s">
        <v>10</v>
      </c>
      <c r="K34" s="1"/>
      <c r="L34" s="1"/>
      <c r="M34" s="1"/>
      <c r="N34" s="2"/>
    </row>
    <row r="35" spans="1:19" x14ac:dyDescent="0.25">
      <c r="A35" s="1"/>
      <c r="B35" s="1" t="s">
        <v>2</v>
      </c>
      <c r="C35" s="1"/>
      <c r="D35" s="1"/>
      <c r="E35" s="3"/>
      <c r="F35" s="1"/>
      <c r="I35" s="1"/>
      <c r="J35" s="1" t="s">
        <v>2</v>
      </c>
      <c r="K35" s="1"/>
      <c r="L35" s="1"/>
      <c r="M35" s="3"/>
      <c r="N35" s="1"/>
    </row>
    <row r="36" spans="1:19" x14ac:dyDescent="0.25">
      <c r="A36" s="1"/>
      <c r="B36" s="2" t="s">
        <v>8</v>
      </c>
      <c r="C36" s="2" t="s">
        <v>9</v>
      </c>
      <c r="D36" s="2"/>
      <c r="E36" s="2"/>
      <c r="I36" s="1"/>
      <c r="J36" s="2" t="s">
        <v>8</v>
      </c>
      <c r="K36" s="2" t="s">
        <v>9</v>
      </c>
      <c r="L36" s="2"/>
      <c r="M36" s="2"/>
      <c r="R36" s="2" t="s">
        <v>9</v>
      </c>
      <c r="S36" t="s">
        <v>3</v>
      </c>
    </row>
    <row r="37" spans="1:19" x14ac:dyDescent="0.25">
      <c r="A37" s="4">
        <v>1</v>
      </c>
      <c r="B37" s="1">
        <v>7.9654000000000003E-2</v>
      </c>
      <c r="C37" s="1">
        <f>B37/$E$1</f>
        <v>0.85594240275091338</v>
      </c>
      <c r="D37" s="3"/>
      <c r="E37" s="3"/>
      <c r="I37" s="4">
        <v>1</v>
      </c>
      <c r="J37" s="1">
        <v>4.2764999999999997E-2</v>
      </c>
      <c r="K37" s="1">
        <f>J37/$E$1</f>
        <v>0.4595422308188265</v>
      </c>
      <c r="L37" s="3"/>
      <c r="M37" s="3"/>
      <c r="Q37" s="26">
        <v>5</v>
      </c>
      <c r="R37" s="23">
        <f>C44</f>
        <v>0.86133677197506986</v>
      </c>
      <c r="S37" s="21">
        <f>C45</f>
        <v>4.0967694263198878E-2</v>
      </c>
    </row>
    <row r="38" spans="1:19" x14ac:dyDescent="0.25">
      <c r="A38" s="1">
        <v>2</v>
      </c>
      <c r="B38" s="1">
        <v>7.5758000000000006E-2</v>
      </c>
      <c r="C38" s="1">
        <f t="shared" ref="C38:C41" si="8">B38/$E$1</f>
        <v>0.81407693960885452</v>
      </c>
      <c r="D38" s="3"/>
      <c r="E38" s="3"/>
      <c r="I38" s="1">
        <v>2</v>
      </c>
      <c r="J38" s="1">
        <v>4.1702000000000003E-2</v>
      </c>
      <c r="K38" s="1">
        <f t="shared" ref="K38:K39" si="9">J38/$E$1</f>
        <v>0.44811949280034385</v>
      </c>
      <c r="L38" s="3"/>
      <c r="M38" s="3"/>
      <c r="Q38" s="27">
        <v>6</v>
      </c>
      <c r="R38" s="5">
        <f>K40</f>
        <v>0.45178737731929219</v>
      </c>
      <c r="S38" s="19">
        <f>K41</f>
        <v>5.4861779376858457E-3</v>
      </c>
    </row>
    <row r="39" spans="1:19" x14ac:dyDescent="0.25">
      <c r="A39">
        <v>3</v>
      </c>
      <c r="B39">
        <v>7.2620000000000004E-2</v>
      </c>
      <c r="C39" s="1">
        <f t="shared" si="8"/>
        <v>0.78035675908016333</v>
      </c>
      <c r="D39" s="3"/>
      <c r="E39" s="3"/>
      <c r="I39" s="1">
        <v>3</v>
      </c>
      <c r="J39" s="1">
        <v>4.1662999999999999E-2</v>
      </c>
      <c r="K39" s="1">
        <f t="shared" si="9"/>
        <v>0.44770040833870617</v>
      </c>
      <c r="L39" s="3"/>
      <c r="M39" s="3"/>
      <c r="Q39" s="28">
        <v>7</v>
      </c>
      <c r="R39" s="24">
        <f>C55</f>
        <v>0.63931871910595317</v>
      </c>
      <c r="S39" s="22">
        <f>C56</f>
        <v>2.1287341500107471E-2</v>
      </c>
    </row>
    <row r="40" spans="1:19" x14ac:dyDescent="0.25">
      <c r="A40">
        <v>4</v>
      </c>
      <c r="B40">
        <v>8.5056000000000007E-2</v>
      </c>
      <c r="C40" s="1">
        <f t="shared" si="8"/>
        <v>0.91399097356544168</v>
      </c>
      <c r="D40" s="3"/>
      <c r="E40" s="3"/>
      <c r="I40" s="1" t="s">
        <v>11</v>
      </c>
      <c r="J40" s="1">
        <f>AVERAGE(J37:J39)</f>
        <v>4.2043333333333328E-2</v>
      </c>
      <c r="K40" s="1">
        <f>AVERAGE(K37:K39)</f>
        <v>0.45178737731929219</v>
      </c>
      <c r="L40" s="3"/>
      <c r="M40" s="3"/>
      <c r="Q40" s="29">
        <v>8</v>
      </c>
      <c r="R40" s="25">
        <f>K60</f>
        <v>0.91189196933877781</v>
      </c>
      <c r="S40" s="12">
        <f>K61</f>
        <v>3.4925658421389318E-2</v>
      </c>
    </row>
    <row r="41" spans="1:19" x14ac:dyDescent="0.25">
      <c r="A41">
        <v>5</v>
      </c>
      <c r="B41">
        <v>6.3663999999999998E-2</v>
      </c>
      <c r="C41" s="1">
        <f t="shared" si="8"/>
        <v>0.68411777347947555</v>
      </c>
      <c r="D41" s="1"/>
      <c r="E41" s="1"/>
      <c r="I41" s="1" t="s">
        <v>12</v>
      </c>
      <c r="J41" s="1">
        <f>_xlfn.STDEV.P(J37:J39)</f>
        <v>5.1054371888104477E-4</v>
      </c>
      <c r="K41" s="1">
        <f>_xlfn.STDEV.P(K37:K39)</f>
        <v>5.4861779376858457E-3</v>
      </c>
      <c r="L41" s="1"/>
      <c r="M41" s="1"/>
    </row>
    <row r="42" spans="1:19" x14ac:dyDescent="0.25">
      <c r="A42" s="1" t="s">
        <v>60</v>
      </c>
      <c r="B42" s="1">
        <f>AVERAGE(B37:B41)</f>
        <v>7.5350400000000012E-2</v>
      </c>
      <c r="C42" s="1">
        <f>AVERAGE(C37:C41)</f>
        <v>0.8096969696969698</v>
      </c>
      <c r="D42" s="1"/>
      <c r="E42" s="1"/>
      <c r="L42" s="1"/>
      <c r="M42" s="1"/>
    </row>
    <row r="43" spans="1:19" x14ac:dyDescent="0.25">
      <c r="A43" s="1" t="s">
        <v>61</v>
      </c>
      <c r="B43" s="1">
        <f>_xlfn.STDEV.P(B37:B41)</f>
        <v>7.1681631008229741E-3</v>
      </c>
      <c r="C43" s="1">
        <f>_xlfn.STDEV.P(C37:C41)</f>
        <v>7.7027327539468879E-2</v>
      </c>
    </row>
    <row r="44" spans="1:19" x14ac:dyDescent="0.25">
      <c r="A44" s="1" t="s">
        <v>63</v>
      </c>
      <c r="B44" s="1">
        <f>AVERAGE(B40,B37,B38)</f>
        <v>8.0156000000000005E-2</v>
      </c>
      <c r="C44" s="1">
        <f>AVERAGE(C40,C37,C38)</f>
        <v>0.86133677197506986</v>
      </c>
    </row>
    <row r="45" spans="1:19" x14ac:dyDescent="0.25">
      <c r="A45" s="1" t="s">
        <v>12</v>
      </c>
      <c r="B45" s="1">
        <f>_xlfn.STDEV.P(B37,B38,B40)</f>
        <v>3.8124536281332875E-3</v>
      </c>
      <c r="C45" s="1">
        <f>_xlfn.STDEV.P(C37,C38,C40)</f>
        <v>4.0967694263198878E-2</v>
      </c>
    </row>
    <row r="46" spans="1:19" x14ac:dyDescent="0.25">
      <c r="A46" s="1"/>
      <c r="B46" s="1"/>
      <c r="C46" s="1"/>
    </row>
    <row r="48" spans="1:19" x14ac:dyDescent="0.25">
      <c r="B48" t="s">
        <v>24</v>
      </c>
      <c r="J48" t="s">
        <v>25</v>
      </c>
    </row>
    <row r="49" spans="1:14" x14ac:dyDescent="0.25">
      <c r="A49" s="1"/>
      <c r="B49" s="1" t="s">
        <v>10</v>
      </c>
      <c r="C49" s="1"/>
      <c r="D49" s="1"/>
      <c r="E49" s="1"/>
      <c r="F49" s="2"/>
      <c r="I49" s="1"/>
      <c r="J49" s="1" t="s">
        <v>10</v>
      </c>
      <c r="K49" s="1"/>
      <c r="L49" s="1"/>
      <c r="M49" s="1"/>
      <c r="N49" s="2"/>
    </row>
    <row r="50" spans="1:14" x14ac:dyDescent="0.25">
      <c r="A50" s="1"/>
      <c r="B50" s="1" t="s">
        <v>2</v>
      </c>
      <c r="D50" s="1"/>
      <c r="E50" s="3"/>
      <c r="F50" s="1"/>
      <c r="I50" s="1"/>
      <c r="J50" s="1" t="s">
        <v>2</v>
      </c>
      <c r="L50" s="1"/>
      <c r="M50" s="3"/>
      <c r="N50" s="1"/>
    </row>
    <row r="51" spans="1:14" x14ac:dyDescent="0.25">
      <c r="A51" s="1"/>
      <c r="B51" s="2" t="s">
        <v>8</v>
      </c>
      <c r="C51" s="2" t="s">
        <v>9</v>
      </c>
      <c r="D51" s="2"/>
      <c r="E51" s="2"/>
      <c r="I51" s="1"/>
      <c r="J51" s="2" t="s">
        <v>8</v>
      </c>
      <c r="K51" s="2" t="s">
        <v>9</v>
      </c>
      <c r="L51" s="2"/>
      <c r="M51" s="2"/>
    </row>
    <row r="52" spans="1:14" x14ac:dyDescent="0.25">
      <c r="A52" s="4">
        <v>1</v>
      </c>
      <c r="B52" s="1">
        <v>6.3389000000000001E-2</v>
      </c>
      <c r="C52" s="1">
        <f>B52/$E$1</f>
        <v>0.68116269073715885</v>
      </c>
      <c r="D52" s="3"/>
      <c r="E52" s="3"/>
      <c r="I52" s="4">
        <v>1</v>
      </c>
      <c r="J52" s="1">
        <v>8.8941999999999993E-2</v>
      </c>
      <c r="K52" s="1">
        <f>J52/$E$1</f>
        <v>0.95574897915323431</v>
      </c>
      <c r="L52" s="3"/>
      <c r="M52" s="3"/>
    </row>
    <row r="53" spans="1:14" x14ac:dyDescent="0.25">
      <c r="A53" s="1">
        <v>2</v>
      </c>
      <c r="B53" s="1">
        <v>6.1476000000000003E-2</v>
      </c>
      <c r="C53" s="1">
        <f t="shared" ref="C53:C54" si="10">B53/$E$1</f>
        <v>0.66060606060606064</v>
      </c>
      <c r="D53" s="3"/>
      <c r="E53" s="3"/>
      <c r="I53" s="1">
        <v>2</v>
      </c>
      <c r="J53" s="1">
        <v>8.4651000000000004E-2</v>
      </c>
      <c r="K53" s="1">
        <f t="shared" ref="K53:K57" si="11">J53/$E$1</f>
        <v>0.90963894261766598</v>
      </c>
      <c r="L53" s="3"/>
      <c r="M53" s="3"/>
    </row>
    <row r="54" spans="1:14" x14ac:dyDescent="0.25">
      <c r="A54" s="1">
        <v>3</v>
      </c>
      <c r="B54" s="1">
        <v>5.7514000000000003E-2</v>
      </c>
      <c r="C54" s="1">
        <f t="shared" si="10"/>
        <v>0.6180313776058457</v>
      </c>
      <c r="D54" s="3"/>
      <c r="E54" s="3"/>
      <c r="I54" s="1">
        <v>3</v>
      </c>
      <c r="J54" s="1">
        <v>7.5910000000000005E-2</v>
      </c>
      <c r="K54" s="1">
        <f t="shared" si="11"/>
        <v>0.81571029443369869</v>
      </c>
      <c r="L54" s="3"/>
      <c r="M54" s="3"/>
    </row>
    <row r="55" spans="1:14" x14ac:dyDescent="0.25">
      <c r="A55" s="1" t="s">
        <v>11</v>
      </c>
      <c r="B55" s="1">
        <f>AVERAGE(B53:B54)</f>
        <v>5.9495000000000006E-2</v>
      </c>
      <c r="C55" s="1">
        <f>AVERAGE(C53:C54)</f>
        <v>0.63931871910595317</v>
      </c>
      <c r="D55" s="3"/>
      <c r="E55" s="3"/>
      <c r="I55" s="1">
        <v>4</v>
      </c>
      <c r="J55" s="1">
        <v>8.0989000000000005E-2</v>
      </c>
      <c r="K55" s="1">
        <f t="shared" si="11"/>
        <v>0.87028798624543313</v>
      </c>
      <c r="L55" s="3"/>
      <c r="M55" s="3"/>
    </row>
    <row r="56" spans="1:14" x14ac:dyDescent="0.25">
      <c r="A56" s="1" t="s">
        <v>12</v>
      </c>
      <c r="B56" s="1">
        <f>_xlfn.STDEV.P(B53:B54)</f>
        <v>1.9810000000000001E-3</v>
      </c>
      <c r="C56" s="1">
        <f>_xlfn.STDEV.P(C53:C54)</f>
        <v>2.1287341500107471E-2</v>
      </c>
      <c r="D56" s="1"/>
      <c r="E56" s="1"/>
      <c r="I56" s="1">
        <v>5</v>
      </c>
      <c r="J56" s="1">
        <v>7.0632E-2</v>
      </c>
      <c r="K56" s="1">
        <f t="shared" si="11"/>
        <v>0.75899419729206963</v>
      </c>
      <c r="L56" s="1"/>
      <c r="M56" s="1"/>
    </row>
    <row r="57" spans="1:14" x14ac:dyDescent="0.25">
      <c r="E57" s="1"/>
      <c r="I57" s="1">
        <v>6</v>
      </c>
      <c r="J57" s="1">
        <v>7.9973000000000002E-2</v>
      </c>
      <c r="K57" s="1">
        <f t="shared" si="11"/>
        <v>0.85937029873200088</v>
      </c>
      <c r="L57" s="1"/>
      <c r="M57" s="1"/>
    </row>
    <row r="58" spans="1:14" x14ac:dyDescent="0.25">
      <c r="I58" s="1" t="s">
        <v>59</v>
      </c>
      <c r="J58" s="1">
        <f>AVERAGE(J52:J57)</f>
        <v>8.0182833333333342E-2</v>
      </c>
      <c r="K58" s="1">
        <f>AVERAGE(K52:K57)</f>
        <v>0.8616251164123504</v>
      </c>
    </row>
    <row r="59" spans="1:14" x14ac:dyDescent="0.25">
      <c r="I59" s="1" t="s">
        <v>62</v>
      </c>
      <c r="J59" s="1">
        <f>_xlfn.STDEV.P(J52:J57)</f>
        <v>5.8716404697116403E-3</v>
      </c>
      <c r="K59" s="1">
        <f>_xlfn.STDEV.P(K52:K57)</f>
        <v>6.3095212440486131E-2</v>
      </c>
    </row>
    <row r="60" spans="1:14" x14ac:dyDescent="0.25">
      <c r="I60" t="s">
        <v>63</v>
      </c>
      <c r="J60">
        <f>AVERAGE(J52,J53,J55)</f>
        <v>8.4860666666666654E-2</v>
      </c>
      <c r="K60">
        <f>AVERAGE(K52,K53,K55)</f>
        <v>0.91189196933877781</v>
      </c>
    </row>
    <row r="61" spans="1:14" x14ac:dyDescent="0.25">
      <c r="I61" t="s">
        <v>12</v>
      </c>
      <c r="J61">
        <f>_xlfn.STDEV.P(J52,J53,J55)</f>
        <v>3.2501817726944939E-3</v>
      </c>
      <c r="K61">
        <f>_xlfn.STDEV.P(K52,K53,K55)</f>
        <v>3.4925658421389318E-2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2EB30-4A20-4E3A-9B70-D528916E3C89}">
  <dimension ref="A2:X33"/>
  <sheetViews>
    <sheetView zoomScale="85" zoomScaleNormal="85" workbookViewId="0">
      <selection activeCell="P36" sqref="P36"/>
    </sheetView>
  </sheetViews>
  <sheetFormatPr defaultRowHeight="15" x14ac:dyDescent="0.25"/>
  <cols>
    <col min="13" max="13" width="12" bestFit="1" customWidth="1"/>
    <col min="17" max="17" width="12" bestFit="1" customWidth="1"/>
  </cols>
  <sheetData>
    <row r="2" spans="1:24" x14ac:dyDescent="0.25">
      <c r="S2" s="34"/>
      <c r="X2" s="34"/>
    </row>
    <row r="3" spans="1:24" x14ac:dyDescent="0.25">
      <c r="A3" t="s">
        <v>189</v>
      </c>
      <c r="S3" s="34"/>
      <c r="X3" s="34"/>
    </row>
    <row r="5" spans="1:24" x14ac:dyDescent="0.25">
      <c r="A5" t="s">
        <v>188</v>
      </c>
      <c r="B5" t="s">
        <v>110</v>
      </c>
      <c r="C5" t="s">
        <v>184</v>
      </c>
      <c r="D5" t="s">
        <v>183</v>
      </c>
      <c r="E5" t="s">
        <v>182</v>
      </c>
      <c r="F5" t="s">
        <v>170</v>
      </c>
      <c r="G5" t="s">
        <v>187</v>
      </c>
      <c r="H5" t="s">
        <v>181</v>
      </c>
      <c r="I5" t="s">
        <v>3</v>
      </c>
      <c r="J5" t="s">
        <v>111</v>
      </c>
      <c r="K5" t="s">
        <v>113</v>
      </c>
      <c r="L5" t="s">
        <v>115</v>
      </c>
      <c r="M5" t="s">
        <v>168</v>
      </c>
      <c r="N5" t="s">
        <v>167</v>
      </c>
      <c r="O5" t="s">
        <v>186</v>
      </c>
      <c r="P5" t="s">
        <v>180</v>
      </c>
      <c r="Q5" t="s">
        <v>3</v>
      </c>
    </row>
    <row r="6" spans="1:24" x14ac:dyDescent="0.25">
      <c r="A6">
        <v>0.05</v>
      </c>
      <c r="B6">
        <v>7.1999999999999995E-2</v>
      </c>
      <c r="C6">
        <v>6.2E-2</v>
      </c>
      <c r="D6">
        <v>7.8E-2</v>
      </c>
      <c r="E6">
        <v>8.1000000000000003E-2</v>
      </c>
      <c r="F6">
        <v>8.0399999999999999E-2</v>
      </c>
      <c r="G6">
        <v>7.9000000000000001E-2</v>
      </c>
      <c r="H6">
        <f>AVERAGE(B6,D6,I6)</f>
        <v>5.2224443334443059E-2</v>
      </c>
      <c r="I6">
        <f>_xlfn.STDEV.P(B6:G6)</f>
        <v>6.6733300033291736E-3</v>
      </c>
      <c r="J6">
        <f t="shared" ref="J6:O6" si="0">B6/1000/0.09306</f>
        <v>7.7369439071566719E-4</v>
      </c>
      <c r="K6">
        <f t="shared" si="0"/>
        <v>6.6623683644960246E-4</v>
      </c>
      <c r="L6">
        <f t="shared" si="0"/>
        <v>8.3816892327530617E-4</v>
      </c>
      <c r="M6">
        <f t="shared" si="0"/>
        <v>8.7040618955512572E-4</v>
      </c>
      <c r="N6">
        <f t="shared" si="0"/>
        <v>8.6395873629916179E-4</v>
      </c>
      <c r="O6">
        <f t="shared" si="0"/>
        <v>8.4891467870191269E-4</v>
      </c>
      <c r="P6">
        <f>AVERAGE(J6,O6,L6)</f>
        <v>8.2025933089762868E-4</v>
      </c>
      <c r="Q6">
        <f>_xlfn.STDEV.P(J6:L6)</f>
        <v>7.0918367623838788E-5</v>
      </c>
    </row>
    <row r="7" spans="1:24" x14ac:dyDescent="0.25">
      <c r="A7">
        <v>0.1</v>
      </c>
      <c r="B7">
        <v>0.124</v>
      </c>
      <c r="C7">
        <v>0.16500000000000001</v>
      </c>
      <c r="D7">
        <v>0.16700000000000001</v>
      </c>
      <c r="E7">
        <v>0.17199999999999999</v>
      </c>
      <c r="H7">
        <f>AVERAGE(B7:E7)</f>
        <v>0.15700000000000003</v>
      </c>
      <c r="I7">
        <f>_xlfn.STDEV.P(B7:E7)</f>
        <v>1.9222382786740863E-2</v>
      </c>
      <c r="J7">
        <f>C7/1000/0.09306</f>
        <v>1.7730496453900709E-3</v>
      </c>
      <c r="K7">
        <f>D7/1000/0.09306</f>
        <v>1.7945411562432841E-3</v>
      </c>
      <c r="L7">
        <f>E7/1000/0.09306</f>
        <v>1.8482699333763162E-3</v>
      </c>
      <c r="M7">
        <f>B7/1000/0.09306</f>
        <v>1.3324736728992049E-3</v>
      </c>
      <c r="P7">
        <f>AVERAGE(K7:L7,M7)</f>
        <v>1.6584282541729351E-3</v>
      </c>
      <c r="Q7">
        <f>_xlfn.STDEV.P(J7:M7)</f>
        <v>2.0655902414293015E-4</v>
      </c>
    </row>
    <row r="8" spans="1:24" x14ac:dyDescent="0.25">
      <c r="A8">
        <v>0.17</v>
      </c>
      <c r="B8">
        <v>0.45600000000000002</v>
      </c>
      <c r="C8">
        <v>0.24</v>
      </c>
      <c r="D8">
        <v>0.27900000000000003</v>
      </c>
      <c r="E8">
        <v>0.28599999999999998</v>
      </c>
      <c r="F8">
        <v>0.32900000000000001</v>
      </c>
      <c r="G8">
        <v>0.32900000000000001</v>
      </c>
      <c r="H8">
        <f>AVERAGE(C8:E8)</f>
        <v>0.26833333333333331</v>
      </c>
      <c r="I8">
        <f>_xlfn.STDEV.P(C8:E8)</f>
        <v>2.0237478982214056E-2</v>
      </c>
      <c r="J8">
        <f t="shared" ref="J8:O8" si="1">B8/1000/0.09306</f>
        <v>4.9000644745325599E-3</v>
      </c>
      <c r="K8">
        <f t="shared" si="1"/>
        <v>2.5789813023855573E-3</v>
      </c>
      <c r="L8">
        <f t="shared" si="1"/>
        <v>2.9980657640232109E-3</v>
      </c>
      <c r="M8">
        <f t="shared" si="1"/>
        <v>3.0732860520094555E-3</v>
      </c>
      <c r="N8">
        <f t="shared" si="1"/>
        <v>3.5353535353535356E-3</v>
      </c>
      <c r="O8">
        <f t="shared" si="1"/>
        <v>3.5353535353535356E-3</v>
      </c>
      <c r="P8">
        <f>AVERAGE(K8:M8)</f>
        <v>2.8834443728060744E-3</v>
      </c>
      <c r="Q8">
        <f>_xlfn.STDEV.P(L8:O8)</f>
        <v>2.5125026225046159E-4</v>
      </c>
    </row>
    <row r="9" spans="1:24" x14ac:dyDescent="0.25">
      <c r="A9">
        <v>0.5</v>
      </c>
      <c r="B9">
        <v>0.89200000000000002</v>
      </c>
      <c r="C9">
        <v>0.88600000000000001</v>
      </c>
      <c r="D9">
        <v>0.95099999999999996</v>
      </c>
      <c r="H9">
        <f>AVERAGE(B9:D9)</f>
        <v>0.90966666666666673</v>
      </c>
      <c r="I9">
        <f>_xlfn.STDEV.P(B9:D9)</f>
        <v>2.9329545209945219E-2</v>
      </c>
      <c r="J9">
        <f t="shared" ref="J9:L10" si="2">B9/1000/0.09306</f>
        <v>9.5852138405329891E-3</v>
      </c>
      <c r="K9">
        <f t="shared" si="2"/>
        <v>9.5207393079733502E-3</v>
      </c>
      <c r="L9">
        <f t="shared" si="2"/>
        <v>1.0219213410702772E-2</v>
      </c>
      <c r="P9">
        <f>AVERAGE(J9:L9)</f>
        <v>9.7750555197363715E-3</v>
      </c>
      <c r="Q9">
        <f>_xlfn.STDEV.P(J9:L9)</f>
        <v>3.1516811959966936E-4</v>
      </c>
    </row>
    <row r="10" spans="1:24" x14ac:dyDescent="0.25">
      <c r="A10">
        <v>1</v>
      </c>
      <c r="B10">
        <v>1.766</v>
      </c>
      <c r="C10">
        <v>1.661</v>
      </c>
      <c r="D10">
        <v>1.389</v>
      </c>
      <c r="H10">
        <f>AVERAGE(B10:D10)</f>
        <v>1.6053333333333333</v>
      </c>
      <c r="I10">
        <f>_xlfn.STDEV.P(B10:D10)</f>
        <v>0.1588633235065777</v>
      </c>
      <c r="J10">
        <f t="shared" si="2"/>
        <v>1.897700408338706E-2</v>
      </c>
      <c r="K10">
        <f t="shared" si="2"/>
        <v>1.7848699763593379E-2</v>
      </c>
      <c r="L10">
        <f t="shared" si="2"/>
        <v>1.4925854287556415E-2</v>
      </c>
      <c r="P10">
        <f>AVERAGE(J10:L10)</f>
        <v>1.7250519378178952E-2</v>
      </c>
    </row>
    <row r="14" spans="1:24" x14ac:dyDescent="0.25">
      <c r="A14" t="s">
        <v>185</v>
      </c>
      <c r="O14" s="34"/>
    </row>
    <row r="15" spans="1:24" x14ac:dyDescent="0.25">
      <c r="O15" s="34"/>
    </row>
    <row r="16" spans="1:24" x14ac:dyDescent="0.25">
      <c r="B16" t="s">
        <v>110</v>
      </c>
      <c r="C16" t="s">
        <v>184</v>
      </c>
      <c r="D16" t="s">
        <v>183</v>
      </c>
      <c r="E16" t="s">
        <v>182</v>
      </c>
      <c r="F16" t="s">
        <v>181</v>
      </c>
      <c r="G16" t="s">
        <v>3</v>
      </c>
      <c r="H16" t="s">
        <v>111</v>
      </c>
      <c r="I16" t="s">
        <v>113</v>
      </c>
      <c r="J16" t="s">
        <v>115</v>
      </c>
      <c r="K16" t="s">
        <v>168</v>
      </c>
      <c r="L16" t="s">
        <v>180</v>
      </c>
      <c r="M16" t="s">
        <v>3</v>
      </c>
      <c r="S16" s="34" t="s">
        <v>157</v>
      </c>
    </row>
    <row r="17" spans="1:23" x14ac:dyDescent="0.25">
      <c r="A17">
        <v>0.05</v>
      </c>
      <c r="B17">
        <v>8.1210000000000004E-2</v>
      </c>
      <c r="C17">
        <f>F6</f>
        <v>8.0399999999999999E-2</v>
      </c>
      <c r="D17">
        <f>G6</f>
        <v>7.9000000000000001E-2</v>
      </c>
      <c r="E17">
        <f>0.055483</f>
        <v>5.5482999999999998E-2</v>
      </c>
      <c r="F17">
        <f>AVERAGE(B17:E17)</f>
        <v>7.4023249999999999E-2</v>
      </c>
      <c r="G17">
        <f>_xlfn.STDEV.P(B17:E17)</f>
        <v>1.0733373499860114E-2</v>
      </c>
      <c r="H17">
        <f t="shared" ref="H17:K18" si="3">B17/1000/0.09306</f>
        <v>8.7266279819471309E-4</v>
      </c>
      <c r="I17">
        <f t="shared" si="3"/>
        <v>8.6395873629916179E-4</v>
      </c>
      <c r="J17">
        <f t="shared" si="3"/>
        <v>8.4891467870191269E-4</v>
      </c>
      <c r="K17">
        <f t="shared" si="3"/>
        <v>5.9620674833440785E-4</v>
      </c>
      <c r="L17">
        <f>AVERAGE(H17:J17)</f>
        <v>8.6184540439859585E-4</v>
      </c>
      <c r="M17">
        <f>_xlfn.STDEV.P(H17:J17)</f>
        <v>9.8096185332744974E-6</v>
      </c>
      <c r="S17" s="34" t="s">
        <v>155</v>
      </c>
    </row>
    <row r="18" spans="1:23" x14ac:dyDescent="0.25">
      <c r="A18">
        <v>0.17</v>
      </c>
      <c r="B18">
        <v>0.189</v>
      </c>
      <c r="C18">
        <v>0.222</v>
      </c>
      <c r="D18">
        <f>C8</f>
        <v>0.24</v>
      </c>
      <c r="E18">
        <f>G8</f>
        <v>0.32900000000000001</v>
      </c>
      <c r="F18">
        <f>AVERAGE(B18:D18)</f>
        <v>0.217</v>
      </c>
      <c r="G18">
        <f>_xlfn.STDEV.P(B18:E18)</f>
        <v>5.1831457629513064E-2</v>
      </c>
      <c r="H18">
        <f t="shared" si="3"/>
        <v>2.0309477756286268E-3</v>
      </c>
      <c r="I18">
        <f t="shared" si="3"/>
        <v>2.3855577047066407E-3</v>
      </c>
      <c r="J18">
        <f t="shared" si="3"/>
        <v>2.5789813023855573E-3</v>
      </c>
      <c r="K18">
        <f t="shared" si="3"/>
        <v>3.5353535353535356E-3</v>
      </c>
      <c r="L18">
        <f>F18/1000/0.09306</f>
        <v>2.3318289275736084E-3</v>
      </c>
    </row>
    <row r="20" spans="1:23" x14ac:dyDescent="0.25">
      <c r="H20">
        <f>H17-0.0004</f>
        <v>4.7266279819471307E-4</v>
      </c>
      <c r="I20">
        <f>I17-0.0004</f>
        <v>4.6395873629916177E-4</v>
      </c>
      <c r="J20">
        <f>J17-0.0004</f>
        <v>4.4891467870191267E-4</v>
      </c>
      <c r="S20">
        <f>L17-0.0004</f>
        <v>4.6184540439859583E-4</v>
      </c>
      <c r="T20">
        <f>P9-0.0004</f>
        <v>9.3750555197363722E-3</v>
      </c>
      <c r="U20">
        <f>L18-0.0004</f>
        <v>1.9318289275736084E-3</v>
      </c>
      <c r="W20">
        <f>P7-0.0004</f>
        <v>1.2584282541729351E-3</v>
      </c>
    </row>
    <row r="21" spans="1:23" x14ac:dyDescent="0.25">
      <c r="H21">
        <f>H20/0.0093</f>
        <v>5.0823956795130444E-2</v>
      </c>
      <c r="I21">
        <f>I20/0.0093</f>
        <v>4.9888036161200196E-2</v>
      </c>
      <c r="J21">
        <f>J20/0.0093</f>
        <v>4.8270395559345453E-2</v>
      </c>
      <c r="K21">
        <f>AVERAGE(H21:J21)</f>
        <v>4.9660796171892028E-2</v>
      </c>
      <c r="L21">
        <f>_xlfn.STDEV.P(H21:J21)</f>
        <v>1.0547976917499472E-3</v>
      </c>
      <c r="S21">
        <f>S20/0.0093</f>
        <v>4.9660796171892028E-2</v>
      </c>
      <c r="U21">
        <f>U20/0.0093</f>
        <v>0.20772354059931275</v>
      </c>
    </row>
    <row r="22" spans="1:23" x14ac:dyDescent="0.25">
      <c r="M22">
        <f>L17-0.0004</f>
        <v>4.6184540439859583E-4</v>
      </c>
    </row>
    <row r="23" spans="1:23" x14ac:dyDescent="0.25">
      <c r="M23">
        <f>M22/0.0093</f>
        <v>4.9660796171892028E-2</v>
      </c>
      <c r="Q23" s="34"/>
    </row>
    <row r="24" spans="1:23" x14ac:dyDescent="0.25">
      <c r="Q24" s="34"/>
    </row>
    <row r="25" spans="1:23" x14ac:dyDescent="0.25">
      <c r="M25" s="11" t="s">
        <v>158</v>
      </c>
    </row>
    <row r="26" spans="1:23" x14ac:dyDescent="0.25">
      <c r="M26" s="34" t="s">
        <v>157</v>
      </c>
      <c r="O26">
        <f>L17-0.0004</f>
        <v>4.6184540439859583E-4</v>
      </c>
      <c r="P26">
        <f>M17-0.0004</f>
        <v>-3.9019038146672551E-4</v>
      </c>
    </row>
    <row r="27" spans="1:23" x14ac:dyDescent="0.25">
      <c r="M27" s="34" t="s">
        <v>155</v>
      </c>
      <c r="O27" s="11">
        <f>O26/0.0093</f>
        <v>4.9660796171892028E-2</v>
      </c>
      <c r="P27">
        <f>P26/0.0093</f>
        <v>-4.1955954996422101E-2</v>
      </c>
    </row>
    <row r="28" spans="1:23" x14ac:dyDescent="0.25">
      <c r="O28" s="11">
        <f>O27*100/0.05</f>
        <v>99.321592343784047</v>
      </c>
      <c r="P28">
        <f>100-O28</f>
        <v>0.67840765621595267</v>
      </c>
    </row>
    <row r="30" spans="1:23" x14ac:dyDescent="0.25">
      <c r="M30">
        <f>P10-0.0004</f>
        <v>1.6850519378178951E-2</v>
      </c>
      <c r="O30">
        <f>L18-0.0004</f>
        <v>1.9318289275736084E-3</v>
      </c>
    </row>
    <row r="32" spans="1:23" x14ac:dyDescent="0.25">
      <c r="B32" s="34"/>
    </row>
    <row r="33" spans="2:2" x14ac:dyDescent="0.25">
      <c r="B33" s="3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A17EB-BD0F-4A39-8145-477FE8B4ACB2}">
  <dimension ref="A7:O78"/>
  <sheetViews>
    <sheetView zoomScale="40" zoomScaleNormal="40" workbookViewId="0">
      <selection activeCell="A59" sqref="A59"/>
    </sheetView>
  </sheetViews>
  <sheetFormatPr defaultRowHeight="15" x14ac:dyDescent="0.25"/>
  <cols>
    <col min="2" max="2" width="13" customWidth="1"/>
    <col min="3" max="3" width="12.42578125" bestFit="1" customWidth="1"/>
    <col min="5" max="5" width="12.42578125" bestFit="1" customWidth="1"/>
    <col min="7" max="7" width="12.42578125" bestFit="1" customWidth="1"/>
    <col min="9" max="10" width="13" bestFit="1" customWidth="1"/>
  </cols>
  <sheetData>
    <row r="7" spans="1:15" x14ac:dyDescent="0.25">
      <c r="A7" t="s">
        <v>103</v>
      </c>
      <c r="B7" t="s">
        <v>27</v>
      </c>
    </row>
    <row r="8" spans="1:15" x14ac:dyDescent="0.25">
      <c r="A8" t="s">
        <v>147</v>
      </c>
      <c r="E8">
        <v>9.3060000000000004E-2</v>
      </c>
    </row>
    <row r="10" spans="1:15" x14ac:dyDescent="0.25">
      <c r="B10" t="s">
        <v>100</v>
      </c>
      <c r="C10" t="s">
        <v>104</v>
      </c>
      <c r="D10" t="s">
        <v>105</v>
      </c>
      <c r="E10" t="s">
        <v>101</v>
      </c>
      <c r="F10" t="s">
        <v>105</v>
      </c>
      <c r="G10" t="s">
        <v>102</v>
      </c>
      <c r="H10" t="s">
        <v>105</v>
      </c>
      <c r="I10" t="s">
        <v>106</v>
      </c>
      <c r="J10" t="s">
        <v>107</v>
      </c>
    </row>
    <row r="11" spans="1:15" x14ac:dyDescent="0.25">
      <c r="B11">
        <v>0</v>
      </c>
      <c r="I11">
        <f>I25</f>
        <v>5.6059173293215847E-4</v>
      </c>
      <c r="J11">
        <f>J25</f>
        <v>1.0335511401058892E-5</v>
      </c>
    </row>
    <row r="12" spans="1:15" x14ac:dyDescent="0.25">
      <c r="B12">
        <v>0.2</v>
      </c>
      <c r="C12">
        <v>1.0300000000000001E-3</v>
      </c>
      <c r="D12">
        <f t="shared" ref="D12:D18" si="0">C12/$E$8</f>
        <v>1.1068128089404685E-2</v>
      </c>
      <c r="E12">
        <v>6.6E-4</v>
      </c>
      <c r="F12">
        <f t="shared" ref="F12:F18" si="1">E12/$E$8</f>
        <v>7.0921985815602835E-3</v>
      </c>
      <c r="G12">
        <v>7.8399999999999997E-4</v>
      </c>
      <c r="H12">
        <v>7.8399999999999997E-4</v>
      </c>
      <c r="I12">
        <f>AVERAGE(D12,F12,H12)</f>
        <v>6.3147755569883226E-3</v>
      </c>
      <c r="J12">
        <f t="shared" ref="J12:J18" si="2">_xlfn.STDEV.P(D12,F12,H12)</f>
        <v>4.2343132114642931E-3</v>
      </c>
    </row>
    <row r="13" spans="1:15" x14ac:dyDescent="0.25">
      <c r="B13">
        <v>0.5</v>
      </c>
      <c r="C13">
        <v>8.2799999999999996E-4</v>
      </c>
      <c r="D13">
        <f t="shared" si="0"/>
        <v>8.8974854932301738E-3</v>
      </c>
      <c r="E13">
        <v>8.9099999999999997E-4</v>
      </c>
      <c r="F13">
        <f t="shared" si="1"/>
        <v>9.5744680851063829E-3</v>
      </c>
      <c r="G13">
        <v>8.4000000000000003E-4</v>
      </c>
      <c r="H13">
        <f t="shared" ref="H13:H18" si="3">G13/$E$8</f>
        <v>9.0264345583494516E-3</v>
      </c>
      <c r="I13">
        <f>AVERAGE(D13,F13,H13)</f>
        <v>9.1661293788953355E-3</v>
      </c>
      <c r="J13">
        <f t="shared" si="2"/>
        <v>2.9349882406506917E-4</v>
      </c>
    </row>
    <row r="14" spans="1:15" x14ac:dyDescent="0.25">
      <c r="B14">
        <v>1</v>
      </c>
      <c r="C14">
        <v>1.4829999999999999E-3</v>
      </c>
      <c r="D14">
        <f t="shared" si="0"/>
        <v>1.5935955297657425E-2</v>
      </c>
      <c r="E14">
        <v>1.2620000000000001E-3</v>
      </c>
      <c r="F14">
        <f t="shared" si="1"/>
        <v>1.3561143348377391E-2</v>
      </c>
      <c r="G14">
        <v>1.47E-3</v>
      </c>
      <c r="H14">
        <f t="shared" si="3"/>
        <v>1.5796260477111541E-2</v>
      </c>
      <c r="I14">
        <f t="shared" ref="I14:I18" si="4">AVERAGE(D14,F14,H14)</f>
        <v>1.5097786374382119E-2</v>
      </c>
      <c r="J14">
        <f t="shared" si="2"/>
        <v>1.088066328477133E-3</v>
      </c>
      <c r="N14">
        <v>30</v>
      </c>
      <c r="O14">
        <f>I20</f>
        <v>0.41638011318862378</v>
      </c>
    </row>
    <row r="15" spans="1:15" x14ac:dyDescent="0.25">
      <c r="B15">
        <v>2</v>
      </c>
      <c r="C15">
        <v>2.4940000000000001E-3</v>
      </c>
      <c r="D15">
        <f t="shared" si="0"/>
        <v>2.6799914033956589E-2</v>
      </c>
      <c r="E15">
        <v>2.5370000000000002E-3</v>
      </c>
      <c r="F15">
        <f t="shared" si="1"/>
        <v>2.7261981517300669E-2</v>
      </c>
      <c r="G15">
        <v>2.5000000000000001E-3</v>
      </c>
      <c r="H15">
        <f t="shared" si="3"/>
        <v>2.6864388566516226E-2</v>
      </c>
      <c r="I15">
        <f t="shared" si="4"/>
        <v>2.6975428039257829E-2</v>
      </c>
      <c r="J15">
        <f t="shared" si="2"/>
        <v>2.0432639439718771E-4</v>
      </c>
    </row>
    <row r="16" spans="1:15" x14ac:dyDescent="0.25">
      <c r="B16">
        <v>5</v>
      </c>
      <c r="C16">
        <v>5.7650000000000002E-3</v>
      </c>
      <c r="D16">
        <f t="shared" si="0"/>
        <v>6.194928003438642E-2</v>
      </c>
      <c r="E16">
        <v>5.9810000000000002E-3</v>
      </c>
      <c r="F16">
        <f t="shared" si="1"/>
        <v>6.4270363206533412E-2</v>
      </c>
      <c r="G16">
        <v>5.5750000000000001E-3</v>
      </c>
      <c r="H16">
        <f t="shared" si="3"/>
        <v>5.9907586503331181E-2</v>
      </c>
      <c r="I16">
        <f t="shared" si="4"/>
        <v>6.2042409914750331E-2</v>
      </c>
      <c r="J16">
        <f t="shared" si="2"/>
        <v>1.7823131078205613E-3</v>
      </c>
    </row>
    <row r="17" spans="2:14" x14ac:dyDescent="0.25">
      <c r="B17">
        <v>10</v>
      </c>
      <c r="C17">
        <v>1.3365E-2</v>
      </c>
      <c r="D17">
        <f t="shared" si="0"/>
        <v>0.14361702127659573</v>
      </c>
      <c r="E17">
        <v>1.3024000000000001E-2</v>
      </c>
      <c r="F17">
        <f t="shared" si="1"/>
        <v>0.13995271867612294</v>
      </c>
      <c r="G17">
        <v>1.3199000000000001E-2</v>
      </c>
      <c r="H17">
        <f t="shared" si="3"/>
        <v>0.14183322587577907</v>
      </c>
      <c r="I17">
        <f t="shared" si="4"/>
        <v>0.14180098860949925</v>
      </c>
      <c r="J17">
        <f t="shared" si="2"/>
        <v>1.4961189386678256E-3</v>
      </c>
    </row>
    <row r="18" spans="2:14" x14ac:dyDescent="0.25">
      <c r="B18">
        <v>15</v>
      </c>
      <c r="C18">
        <v>1.9885E-2</v>
      </c>
      <c r="D18">
        <f t="shared" si="0"/>
        <v>0.21367934665807006</v>
      </c>
      <c r="E18">
        <v>1.9043999999999998E-2</v>
      </c>
      <c r="F18">
        <f t="shared" si="1"/>
        <v>0.20464216634429397</v>
      </c>
      <c r="G18">
        <v>1.9848999999999999E-2</v>
      </c>
      <c r="H18">
        <f t="shared" si="3"/>
        <v>0.2132924994627122</v>
      </c>
      <c r="I18">
        <f t="shared" si="4"/>
        <v>0.21053800415502541</v>
      </c>
      <c r="J18">
        <f t="shared" si="2"/>
        <v>4.1719771736333797E-3</v>
      </c>
    </row>
    <row r="19" spans="2:14" x14ac:dyDescent="0.25">
      <c r="B19">
        <v>20</v>
      </c>
      <c r="C19">
        <v>2.886E-2</v>
      </c>
      <c r="D19">
        <f>C19/$E$8</f>
        <v>0.31012250161186328</v>
      </c>
      <c r="E19">
        <v>2.4150000000000001E-2</v>
      </c>
      <c r="F19">
        <f>E19/$E$8</f>
        <v>0.25950999355254672</v>
      </c>
      <c r="G19">
        <v>2.3029000000000001E-2</v>
      </c>
      <c r="H19">
        <f>G19/$E$8</f>
        <v>0.24746400171932087</v>
      </c>
      <c r="I19">
        <f>AVERAGE(D19,F19,H19)</f>
        <v>0.27236549896124362</v>
      </c>
      <c r="J19">
        <f>_xlfn.STDEV.P(D19,F19,H19)</f>
        <v>2.714737454071401E-2</v>
      </c>
    </row>
    <row r="20" spans="2:14" x14ac:dyDescent="0.25">
      <c r="B20">
        <v>30</v>
      </c>
      <c r="C20">
        <v>3.9276999999999999E-2</v>
      </c>
      <c r="D20">
        <f>C20/$E$8</f>
        <v>0.42206103589082311</v>
      </c>
      <c r="E20">
        <v>3.7490999999999997E-2</v>
      </c>
      <c r="F20">
        <f>E20/$E$8</f>
        <v>0.40286911669890391</v>
      </c>
      <c r="G20">
        <v>3.9476999999999998E-2</v>
      </c>
      <c r="H20">
        <f>G20/$E$8</f>
        <v>0.42421018697614438</v>
      </c>
      <c r="I20">
        <f>AVERAGE(D20,F20,H20)</f>
        <v>0.41638011318862378</v>
      </c>
      <c r="J20">
        <f>_xlfn.STDEV.P(D20,F20,H20)</f>
        <v>9.5939210686003945E-3</v>
      </c>
    </row>
    <row r="21" spans="2:14" x14ac:dyDescent="0.25">
      <c r="B21">
        <v>40</v>
      </c>
      <c r="C21">
        <v>4.6113000000000001E-2</v>
      </c>
      <c r="D21">
        <f>C21/$E$8</f>
        <v>0.49551901998710507</v>
      </c>
      <c r="E21">
        <v>4.5816999999999997E-2</v>
      </c>
      <c r="F21">
        <f>E21/$E$8</f>
        <v>0.4923382763808295</v>
      </c>
      <c r="G21">
        <v>4.5197000000000001E-2</v>
      </c>
      <c r="H21">
        <f>G21/$E$8</f>
        <v>0.48567590801633354</v>
      </c>
      <c r="I21">
        <f>AVERAGE(D21,F21,H21)</f>
        <v>0.49117773479475607</v>
      </c>
      <c r="J21">
        <f>_xlfn.STDEV.P(D21,F21,H21)</f>
        <v>4.1013701691866257E-3</v>
      </c>
      <c r="L21">
        <f>(3*J25)/0.0138</f>
        <v>2.2468503045780202E-3</v>
      </c>
    </row>
    <row r="22" spans="2:14" x14ac:dyDescent="0.25">
      <c r="B22">
        <v>50</v>
      </c>
      <c r="C22">
        <v>4.8772999999999997E-2</v>
      </c>
      <c r="D22">
        <f>C22/$E$8</f>
        <v>0.5241027294218783</v>
      </c>
      <c r="E22">
        <v>4.9160000000000002E-2</v>
      </c>
      <c r="F22">
        <f>E22/$E$8</f>
        <v>0.52826133677197507</v>
      </c>
      <c r="G22">
        <v>5.0159000000000002E-2</v>
      </c>
      <c r="H22">
        <f>G22/$E$8</f>
        <v>0.53899634644315497</v>
      </c>
      <c r="I22">
        <f>AVERAGE(D22,F22,H22)</f>
        <v>0.53045347087900285</v>
      </c>
      <c r="J22">
        <f>_xlfn.STDEV.P(D22,F22,H22)</f>
        <v>6.2747667128752651E-3</v>
      </c>
    </row>
    <row r="23" spans="2:14" x14ac:dyDescent="0.25">
      <c r="B23">
        <v>100</v>
      </c>
      <c r="C23">
        <v>7.2449E-2</v>
      </c>
      <c r="D23">
        <f>C23/$E$8</f>
        <v>0.77851923490221364</v>
      </c>
      <c r="E23">
        <v>6.6640000000000005E-2</v>
      </c>
      <c r="F23">
        <f>E23/$E$8</f>
        <v>0.71609714162905658</v>
      </c>
      <c r="G23">
        <v>6.3279000000000002E-2</v>
      </c>
      <c r="H23">
        <f>G23/$E$8</f>
        <v>0.67998065764023208</v>
      </c>
      <c r="I23">
        <f>AVERAGE(D23,F23,H23)</f>
        <v>0.72486567805716751</v>
      </c>
      <c r="J23">
        <f>_xlfn.STDEV.P(D23,F23,H23)</f>
        <v>4.0703220392840397E-2</v>
      </c>
    </row>
    <row r="24" spans="2:14" x14ac:dyDescent="0.25">
      <c r="B24">
        <v>200</v>
      </c>
      <c r="I24" s="1">
        <f>'dobór pH'!$K$58</f>
        <v>0.8616251164123504</v>
      </c>
      <c r="J24">
        <f>'dobór pH'!$K$59</f>
        <v>6.3095212440486131E-2</v>
      </c>
      <c r="L24" t="s">
        <v>146</v>
      </c>
      <c r="N24" t="s">
        <v>144</v>
      </c>
    </row>
    <row r="25" spans="2:14" x14ac:dyDescent="0.25">
      <c r="B25" t="s">
        <v>108</v>
      </c>
      <c r="C25">
        <v>5.1381999999999997E-5</v>
      </c>
      <c r="D25">
        <f>C25/$E$8</f>
        <v>5.5213840532989463E-4</v>
      </c>
      <c r="E25">
        <v>5.1601000000000003E-5</v>
      </c>
      <c r="F25">
        <f>E25/$E$8</f>
        <v>5.5449172576832147E-4</v>
      </c>
      <c r="G25">
        <v>5.3523000000000002E-5</v>
      </c>
      <c r="H25">
        <f>G25/$E$8</f>
        <v>5.7514506769825921E-4</v>
      </c>
      <c r="I25">
        <f>AVERAGE(D25,F25,H25)</f>
        <v>5.6059173293215847E-4</v>
      </c>
      <c r="J25">
        <f>_xlfn.STDEV.P(D25,F25,H25)</f>
        <v>1.0335511401058892E-5</v>
      </c>
      <c r="L25">
        <f>I25+3*J25</f>
        <v>5.9159826713533516E-4</v>
      </c>
      <c r="N25">
        <f>L25/0.0138</f>
        <v>4.2869439647488058E-2</v>
      </c>
    </row>
    <row r="57" spans="1:10" x14ac:dyDescent="0.25">
      <c r="A57" t="s">
        <v>103</v>
      </c>
      <c r="B57" t="s">
        <v>27</v>
      </c>
    </row>
    <row r="58" spans="1:10" x14ac:dyDescent="0.25">
      <c r="A58" t="s">
        <v>147</v>
      </c>
      <c r="E58">
        <v>9.3060000000000004E-2</v>
      </c>
    </row>
    <row r="60" spans="1:10" x14ac:dyDescent="0.25">
      <c r="B60" t="s">
        <v>100</v>
      </c>
      <c r="C60" t="s">
        <v>104</v>
      </c>
      <c r="D60" t="s">
        <v>105</v>
      </c>
      <c r="E60" t="s">
        <v>101</v>
      </c>
      <c r="F60" t="s">
        <v>105</v>
      </c>
      <c r="G60" t="s">
        <v>102</v>
      </c>
      <c r="H60" t="s">
        <v>105</v>
      </c>
      <c r="I60" t="s">
        <v>106</v>
      </c>
      <c r="J60" t="s">
        <v>107</v>
      </c>
    </row>
    <row r="61" spans="1:10" x14ac:dyDescent="0.25">
      <c r="B61">
        <v>0</v>
      </c>
      <c r="I61">
        <f>I73</f>
        <v>8.8856651622609066E-5</v>
      </c>
      <c r="J61">
        <f>J73</f>
        <v>9.5101372329369321E-6</v>
      </c>
    </row>
    <row r="62" spans="1:10" x14ac:dyDescent="0.25">
      <c r="B62">
        <v>0.2</v>
      </c>
      <c r="C62">
        <v>1.3200000000000001E-4</v>
      </c>
      <c r="D62">
        <f t="shared" ref="D62:D70" si="5">C62/$E$58</f>
        <v>1.4184397163120568E-3</v>
      </c>
      <c r="E62">
        <v>1.5899999999999999E-4</v>
      </c>
      <c r="F62">
        <f t="shared" ref="F62:F70" si="6">E62/$E$58</f>
        <v>1.7085751128304318E-3</v>
      </c>
      <c r="G62">
        <v>1.5799999999999999E-4</v>
      </c>
      <c r="H62">
        <f t="shared" ref="H62:H70" si="7">G62/$E$58</f>
        <v>1.6978293574038254E-3</v>
      </c>
      <c r="I62">
        <f>AVERAGE(D62,F62,H62)</f>
        <v>1.6082813955154379E-3</v>
      </c>
      <c r="J62">
        <f t="shared" ref="J62:J68" si="8">_xlfn.STDEV.P(D62,F62,H62)</f>
        <v>1.3431000257362746E-4</v>
      </c>
    </row>
    <row r="63" spans="1:10" x14ac:dyDescent="0.25">
      <c r="B63">
        <v>0.5</v>
      </c>
      <c r="C63">
        <v>4.44E-4</v>
      </c>
      <c r="D63">
        <f t="shared" si="5"/>
        <v>4.7711154094132813E-3</v>
      </c>
      <c r="E63">
        <v>4.0099999999999999E-4</v>
      </c>
      <c r="F63">
        <f t="shared" si="6"/>
        <v>4.3090479260692021E-3</v>
      </c>
      <c r="G63">
        <v>4.0000000000000002E-4</v>
      </c>
      <c r="H63">
        <f t="shared" si="7"/>
        <v>4.2983021706425959E-3</v>
      </c>
      <c r="I63">
        <f>AVERAGE(D63,F63,H63)</f>
        <v>4.4594885020416931E-3</v>
      </c>
      <c r="J63">
        <f t="shared" si="8"/>
        <v>2.2039716402199526E-4</v>
      </c>
    </row>
    <row r="64" spans="1:10" x14ac:dyDescent="0.25">
      <c r="B64">
        <v>1</v>
      </c>
      <c r="C64">
        <v>8.3100000000000003E-4</v>
      </c>
      <c r="D64">
        <f t="shared" si="5"/>
        <v>8.9297227595099941E-3</v>
      </c>
      <c r="E64">
        <v>8.8400000000000002E-4</v>
      </c>
      <c r="F64">
        <f t="shared" si="6"/>
        <v>9.4992477971201379E-3</v>
      </c>
      <c r="G64">
        <v>9.0499999999999999E-4</v>
      </c>
      <c r="H64">
        <f t="shared" si="7"/>
        <v>9.7249086610788731E-3</v>
      </c>
      <c r="I64">
        <f t="shared" ref="I64:I68" si="9">AVERAGE(D64,F64,H64)</f>
        <v>9.3846264059030023E-3</v>
      </c>
      <c r="J64">
        <f t="shared" si="8"/>
        <v>3.3459796971578842E-4</v>
      </c>
    </row>
    <row r="65" spans="2:10" x14ac:dyDescent="0.25">
      <c r="B65">
        <v>2</v>
      </c>
      <c r="C65">
        <v>1.913E-3</v>
      </c>
      <c r="D65">
        <f t="shared" si="5"/>
        <v>2.0556630131098215E-2</v>
      </c>
      <c r="E65">
        <v>1.8060000000000001E-3</v>
      </c>
      <c r="F65">
        <f t="shared" si="6"/>
        <v>1.9406834300451321E-2</v>
      </c>
      <c r="G65">
        <v>1.6230000000000001E-3</v>
      </c>
      <c r="H65">
        <f t="shared" si="7"/>
        <v>1.7440361057382333E-2</v>
      </c>
      <c r="I65">
        <f t="shared" si="9"/>
        <v>1.9134608496310625E-2</v>
      </c>
      <c r="J65">
        <f t="shared" si="8"/>
        <v>1.2866917272031525E-3</v>
      </c>
    </row>
    <row r="66" spans="2:10" x14ac:dyDescent="0.25">
      <c r="B66">
        <v>5</v>
      </c>
      <c r="C66">
        <v>3.6670000000000001E-3</v>
      </c>
      <c r="D66">
        <f t="shared" si="5"/>
        <v>3.9404685149366001E-2</v>
      </c>
      <c r="E66">
        <v>4.0280000000000003E-3</v>
      </c>
      <c r="F66">
        <f t="shared" si="6"/>
        <v>4.3283902858370943E-2</v>
      </c>
      <c r="G66">
        <v>3.5620000000000001E-3</v>
      </c>
      <c r="H66">
        <f t="shared" si="7"/>
        <v>3.8276380829572319E-2</v>
      </c>
      <c r="I66">
        <f t="shared" si="9"/>
        <v>4.0321656279103085E-2</v>
      </c>
      <c r="J66">
        <f t="shared" si="8"/>
        <v>2.1446749958605777E-3</v>
      </c>
    </row>
    <row r="67" spans="2:10" x14ac:dyDescent="0.25">
      <c r="B67">
        <v>10</v>
      </c>
      <c r="C67">
        <v>6.6319999999999999E-3</v>
      </c>
      <c r="D67">
        <f t="shared" si="5"/>
        <v>7.126584998925424E-2</v>
      </c>
      <c r="E67">
        <v>7.2940000000000001E-3</v>
      </c>
      <c r="F67">
        <f t="shared" si="6"/>
        <v>7.837954008166774E-2</v>
      </c>
      <c r="G67">
        <v>6.5560000000000002E-3</v>
      </c>
      <c r="H67">
        <f t="shared" si="7"/>
        <v>7.0449172576832156E-2</v>
      </c>
      <c r="I67">
        <f t="shared" si="9"/>
        <v>7.3364854215918041E-2</v>
      </c>
      <c r="J67">
        <f t="shared" si="8"/>
        <v>3.5615582964111303E-3</v>
      </c>
    </row>
    <row r="68" spans="2:10" x14ac:dyDescent="0.25">
      <c r="B68">
        <v>15</v>
      </c>
      <c r="C68">
        <v>9.8130000000000005E-3</v>
      </c>
      <c r="D68">
        <f t="shared" si="5"/>
        <v>0.10544809800128949</v>
      </c>
      <c r="E68">
        <v>9.9019999999999993E-3</v>
      </c>
      <c r="F68">
        <f t="shared" si="6"/>
        <v>0.10640447023425746</v>
      </c>
      <c r="G68">
        <v>1.0101000000000001E-2</v>
      </c>
      <c r="H68">
        <f t="shared" si="7"/>
        <v>0.10854287556415217</v>
      </c>
      <c r="I68">
        <f t="shared" si="9"/>
        <v>0.10679848126656637</v>
      </c>
      <c r="J68">
        <f t="shared" si="8"/>
        <v>1.2937917300414356E-3</v>
      </c>
    </row>
    <row r="69" spans="2:10" x14ac:dyDescent="0.25">
      <c r="B69">
        <v>20</v>
      </c>
      <c r="C69">
        <v>1.4056000000000001E-2</v>
      </c>
      <c r="D69">
        <f t="shared" si="5"/>
        <v>0.15104233827638083</v>
      </c>
      <c r="E69">
        <v>1.4069999999999999E-2</v>
      </c>
      <c r="F69">
        <f t="shared" si="6"/>
        <v>0.1511927788523533</v>
      </c>
      <c r="G69">
        <v>1.3252999999999999E-2</v>
      </c>
      <c r="H69">
        <f t="shared" si="7"/>
        <v>0.14241349666881581</v>
      </c>
      <c r="I69">
        <f>AVERAGE(D69,F69,H69)</f>
        <v>0.1482162045991833</v>
      </c>
      <c r="J69">
        <f>_xlfn.STDEV.P(D69,F69,H69)</f>
        <v>4.103593757150528E-3</v>
      </c>
    </row>
    <row r="70" spans="2:10" x14ac:dyDescent="0.25">
      <c r="B70">
        <v>30</v>
      </c>
      <c r="C70">
        <v>2.0820999999999999E-2</v>
      </c>
      <c r="D70">
        <f t="shared" si="5"/>
        <v>0.22373737373737371</v>
      </c>
      <c r="E70">
        <v>1.9460000000000002E-2</v>
      </c>
      <c r="F70">
        <f t="shared" si="6"/>
        <v>0.20911240060176231</v>
      </c>
      <c r="G70">
        <v>1.9361E-2</v>
      </c>
      <c r="H70">
        <f t="shared" si="7"/>
        <v>0.20804857081452824</v>
      </c>
      <c r="I70">
        <f>AVERAGE(D70,F70,H70)</f>
        <v>0.2136327817178881</v>
      </c>
      <c r="J70">
        <f>_xlfn.STDEV.P(D70,F70,H70)</f>
        <v>7.1582129224288466E-3</v>
      </c>
    </row>
    <row r="71" spans="2:10" x14ac:dyDescent="0.25">
      <c r="B71">
        <v>40</v>
      </c>
      <c r="C71">
        <v>2.1758E-2</v>
      </c>
      <c r="D71">
        <f>C71/$E$58</f>
        <v>0.233806146572104</v>
      </c>
      <c r="E71">
        <v>2.1357000000000001E-2</v>
      </c>
      <c r="F71">
        <f>E71/$E$58</f>
        <v>0.22949709864603482</v>
      </c>
      <c r="G71">
        <v>1.6997000000000002E-2</v>
      </c>
      <c r="H71">
        <f>G71/$E$58</f>
        <v>0.18264560498603052</v>
      </c>
      <c r="I71">
        <f>AVERAGE(D71,F71,H71)</f>
        <v>0.21531628340138978</v>
      </c>
      <c r="J71">
        <f>_xlfn.STDEV.P(D71,F71,H71)</f>
        <v>2.3168540374066723E-2</v>
      </c>
    </row>
    <row r="72" spans="2:10" x14ac:dyDescent="0.25">
      <c r="B72">
        <v>200</v>
      </c>
      <c r="I72" s="1">
        <f>'dobór pH'!$K$58</f>
        <v>0.8616251164123504</v>
      </c>
      <c r="J72">
        <f>'dobór pH'!$K$59</f>
        <v>6.3095212440486131E-2</v>
      </c>
    </row>
    <row r="73" spans="2:10" x14ac:dyDescent="0.25">
      <c r="B73" t="s">
        <v>132</v>
      </c>
      <c r="C73">
        <f>8.013*10^-6</f>
        <v>8.0129999999999993E-6</v>
      </c>
      <c r="D73">
        <f>C73/$E$8</f>
        <v>8.6105738233397796E-5</v>
      </c>
      <c r="E73">
        <f>7.336*10^-6</f>
        <v>7.3359999999999997E-6</v>
      </c>
      <c r="F73">
        <f>E73/$E$8</f>
        <v>7.8830861809585205E-5</v>
      </c>
      <c r="G73">
        <f>9.458*10^-6</f>
        <v>9.4579999999999999E-6</v>
      </c>
      <c r="H73">
        <f>G73/$E$8</f>
        <v>1.0163335482484418E-4</v>
      </c>
      <c r="I73">
        <f>AVERAGE(D73,F73,H73)</f>
        <v>8.8856651622609066E-5</v>
      </c>
      <c r="J73">
        <f>_xlfn.STDEV.P(D73,F73,H73)</f>
        <v>9.5101372329369321E-6</v>
      </c>
    </row>
    <row r="74" spans="2:10" x14ac:dyDescent="0.25">
      <c r="I74" t="s">
        <v>144</v>
      </c>
    </row>
    <row r="75" spans="2:10" x14ac:dyDescent="0.25">
      <c r="I75">
        <f>I73+3*J73</f>
        <v>1.1738706332141986E-4</v>
      </c>
    </row>
    <row r="78" spans="2:10" x14ac:dyDescent="0.25">
      <c r="I78">
        <f>I75/0.0071</f>
        <v>1.6533389200199981E-2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B1835-DFDC-46C6-9959-5129169F2855}">
  <dimension ref="A3:D15"/>
  <sheetViews>
    <sheetView workbookViewId="0">
      <selection activeCell="C13" sqref="C13"/>
    </sheetView>
  </sheetViews>
  <sheetFormatPr defaultRowHeight="15" x14ac:dyDescent="0.25"/>
  <sheetData>
    <row r="3" spans="1:4" x14ac:dyDescent="0.25">
      <c r="A3" t="s">
        <v>149</v>
      </c>
      <c r="B3">
        <v>25</v>
      </c>
      <c r="C3">
        <v>4</v>
      </c>
    </row>
    <row r="4" spans="1:4" x14ac:dyDescent="0.25">
      <c r="A4" t="s">
        <v>110</v>
      </c>
      <c r="B4">
        <v>11.661</v>
      </c>
      <c r="C4">
        <v>19.416</v>
      </c>
    </row>
    <row r="5" spans="1:4" x14ac:dyDescent="0.25">
      <c r="A5" t="s">
        <v>112</v>
      </c>
      <c r="B5">
        <v>10.17</v>
      </c>
      <c r="C5">
        <v>18.843</v>
      </c>
    </row>
    <row r="6" spans="1:4" x14ac:dyDescent="0.25">
      <c r="A6" t="s">
        <v>114</v>
      </c>
      <c r="C6">
        <v>18.802</v>
      </c>
    </row>
    <row r="7" spans="1:4" x14ac:dyDescent="0.25">
      <c r="A7" t="s">
        <v>145</v>
      </c>
      <c r="B7">
        <f>AVERAGE(B4:B6)</f>
        <v>10.9155</v>
      </c>
      <c r="C7">
        <f>AVERAGE(C4:C6)</f>
        <v>19.020333333333333</v>
      </c>
    </row>
    <row r="8" spans="1:4" x14ac:dyDescent="0.25">
      <c r="A8" t="s">
        <v>3</v>
      </c>
      <c r="B8">
        <f>_xlfn.STDEV.P(B4:B6)</f>
        <v>0.74549999999999983</v>
      </c>
      <c r="C8">
        <f>_xlfn.STDEV.P(C4:C6)</f>
        <v>0.28027882942209953</v>
      </c>
    </row>
    <row r="13" spans="1:4" x14ac:dyDescent="0.25">
      <c r="C13">
        <f>C7</f>
        <v>19.020333333333333</v>
      </c>
      <c r="D13">
        <v>100</v>
      </c>
    </row>
    <row r="14" spans="1:4" x14ac:dyDescent="0.25">
      <c r="C14">
        <f>B7</f>
        <v>10.9155</v>
      </c>
      <c r="D14">
        <f>C14*D13/C13</f>
        <v>57.388584146790272</v>
      </c>
    </row>
    <row r="15" spans="1:4" x14ac:dyDescent="0.25">
      <c r="D15">
        <f>100-D14</f>
        <v>42.611415853209728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501EF-0486-4C9D-863D-B63185E7920D}">
  <dimension ref="A2:N32"/>
  <sheetViews>
    <sheetView topLeftCell="A10" zoomScale="85" zoomScaleNormal="85" workbookViewId="0">
      <selection activeCell="M17" sqref="M17"/>
    </sheetView>
  </sheetViews>
  <sheetFormatPr defaultRowHeight="15" x14ac:dyDescent="0.25"/>
  <cols>
    <col min="2" max="2" width="12.5703125" customWidth="1"/>
    <col min="3" max="3" width="15.28515625" customWidth="1"/>
  </cols>
  <sheetData>
    <row r="2" spans="1:14" x14ac:dyDescent="0.25">
      <c r="A2" t="s">
        <v>103</v>
      </c>
      <c r="B2" t="s">
        <v>27</v>
      </c>
    </row>
    <row r="3" spans="1:14" x14ac:dyDescent="0.25">
      <c r="A3" t="s">
        <v>147</v>
      </c>
      <c r="E3">
        <v>9.3060000000000004E-2</v>
      </c>
    </row>
    <row r="5" spans="1:14" x14ac:dyDescent="0.25">
      <c r="C5" t="s">
        <v>104</v>
      </c>
      <c r="D5" t="s">
        <v>105</v>
      </c>
      <c r="E5" t="s">
        <v>101</v>
      </c>
      <c r="F5" t="s">
        <v>105</v>
      </c>
      <c r="G5" t="s">
        <v>102</v>
      </c>
      <c r="H5" t="s">
        <v>105</v>
      </c>
      <c r="I5" t="s">
        <v>106</v>
      </c>
      <c r="J5" t="s">
        <v>107</v>
      </c>
    </row>
    <row r="6" spans="1:14" x14ac:dyDescent="0.25">
      <c r="A6" t="s">
        <v>125</v>
      </c>
      <c r="B6" t="s">
        <v>121</v>
      </c>
      <c r="C6">
        <v>4.0543000000000003E-2</v>
      </c>
      <c r="D6">
        <f>C6/$E$3</f>
        <v>0.43566516226090696</v>
      </c>
      <c r="E6">
        <v>3.8206999999999998E-2</v>
      </c>
      <c r="F6">
        <f>E6/$E$3</f>
        <v>0.41056307758435412</v>
      </c>
      <c r="G6">
        <v>3.5288E-2</v>
      </c>
      <c r="H6">
        <f>G6/$E$3</f>
        <v>0.37919621749408983</v>
      </c>
      <c r="I6">
        <f>AVERAGE(D6,F6,H6)</f>
        <v>0.40847481911311695</v>
      </c>
      <c r="J6">
        <f>_xlfn.STDEV.P(D6,F6,H6)</f>
        <v>2.310059232071018E-2</v>
      </c>
      <c r="L6" t="s">
        <v>126</v>
      </c>
    </row>
    <row r="7" spans="1:14" x14ac:dyDescent="0.25">
      <c r="A7" t="s">
        <v>124</v>
      </c>
      <c r="B7" t="s">
        <v>122</v>
      </c>
      <c r="C7">
        <v>1.18E-2</v>
      </c>
      <c r="D7">
        <f>C7/$E$3</f>
        <v>0.12679991403395657</v>
      </c>
      <c r="E7">
        <v>1.1606999999999999E-2</v>
      </c>
      <c r="F7">
        <f>E7/$E$3</f>
        <v>0.12472598323662153</v>
      </c>
      <c r="G7">
        <v>1.1564E-2</v>
      </c>
      <c r="H7">
        <f>G7/$E$3</f>
        <v>0.12426391575327744</v>
      </c>
      <c r="I7">
        <f>AVERAGE(D7,F7,H7)</f>
        <v>0.12526327100795184</v>
      </c>
      <c r="J7">
        <f>_xlfn.STDEV.P(D7,F7,H7)</f>
        <v>1.1028237791589686E-3</v>
      </c>
      <c r="L7" t="s">
        <v>135</v>
      </c>
    </row>
    <row r="12" spans="1:14" x14ac:dyDescent="0.25">
      <c r="B12" t="s">
        <v>127</v>
      </c>
      <c r="C12" t="s">
        <v>131</v>
      </c>
      <c r="D12" t="s">
        <v>105</v>
      </c>
      <c r="E12" t="s">
        <v>3</v>
      </c>
      <c r="F12" t="s">
        <v>130</v>
      </c>
    </row>
    <row r="13" spans="1:14" x14ac:dyDescent="0.25">
      <c r="B13" t="s">
        <v>128</v>
      </c>
      <c r="C13">
        <v>27.75</v>
      </c>
      <c r="D13" s="5">
        <f>I6</f>
        <v>0.40847481911311695</v>
      </c>
      <c r="E13" s="5">
        <f>J6</f>
        <v>2.310059232071018E-2</v>
      </c>
      <c r="F13">
        <v>29.52</v>
      </c>
      <c r="H13">
        <f>F13/C13</f>
        <v>1.0637837837837838</v>
      </c>
      <c r="J13">
        <f>F13-C13</f>
        <v>1.7699999999999996</v>
      </c>
      <c r="L13">
        <f>J13/C13</f>
        <v>6.3783783783783771E-2</v>
      </c>
      <c r="M13">
        <f>L13*100</f>
        <v>6.3783783783783772</v>
      </c>
    </row>
    <row r="14" spans="1:14" x14ac:dyDescent="0.25">
      <c r="B14" t="s">
        <v>129</v>
      </c>
      <c r="C14">
        <v>16.649999999999999</v>
      </c>
      <c r="D14" s="5">
        <f>I7</f>
        <v>0.12526327100795184</v>
      </c>
      <c r="E14" s="5">
        <f>J7</f>
        <v>1.1028237791589686E-3</v>
      </c>
      <c r="F14">
        <v>17.29</v>
      </c>
      <c r="H14">
        <f>F14/C14</f>
        <v>1.0384384384384384</v>
      </c>
      <c r="L14">
        <f>F14-C14</f>
        <v>0.64000000000000057</v>
      </c>
      <c r="M14">
        <f>L14/C14</f>
        <v>3.8438438438438478E-2</v>
      </c>
      <c r="N14">
        <f>M14*100</f>
        <v>3.8438438438438478</v>
      </c>
    </row>
    <row r="20" spans="1:12" x14ac:dyDescent="0.25">
      <c r="A20" t="s">
        <v>103</v>
      </c>
      <c r="B20" t="s">
        <v>27</v>
      </c>
    </row>
    <row r="21" spans="1:12" x14ac:dyDescent="0.25">
      <c r="A21" t="s">
        <v>147</v>
      </c>
      <c r="E21">
        <v>9.3060000000000004E-2</v>
      </c>
    </row>
    <row r="23" spans="1:12" x14ac:dyDescent="0.25">
      <c r="C23" t="s">
        <v>104</v>
      </c>
      <c r="D23" t="s">
        <v>105</v>
      </c>
      <c r="E23" t="s">
        <v>101</v>
      </c>
      <c r="F23" t="s">
        <v>105</v>
      </c>
      <c r="G23" t="s">
        <v>102</v>
      </c>
      <c r="H23" t="s">
        <v>105</v>
      </c>
      <c r="I23" t="s">
        <v>106</v>
      </c>
      <c r="J23" t="s">
        <v>107</v>
      </c>
    </row>
    <row r="24" spans="1:12" x14ac:dyDescent="0.25">
      <c r="A24" t="s">
        <v>125</v>
      </c>
      <c r="B24" t="s">
        <v>121</v>
      </c>
      <c r="D24">
        <f>C24/$E$3</f>
        <v>0</v>
      </c>
      <c r="F24">
        <f>E24/$E$3</f>
        <v>0</v>
      </c>
      <c r="H24">
        <f>G24/$E$3</f>
        <v>0</v>
      </c>
      <c r="I24">
        <f>AVERAGE(D24,F24,H24)</f>
        <v>0</v>
      </c>
      <c r="J24">
        <f>_xlfn.STDEV.P(D24,F24,H24)</f>
        <v>0</v>
      </c>
      <c r="L24" t="s">
        <v>126</v>
      </c>
    </row>
    <row r="25" spans="1:12" x14ac:dyDescent="0.25">
      <c r="A25" t="s">
        <v>125</v>
      </c>
      <c r="B25" t="s">
        <v>133</v>
      </c>
      <c r="C25">
        <v>1.6681999999999999E-2</v>
      </c>
      <c r="D25">
        <f>C25/$E$3</f>
        <v>0.17926069202664946</v>
      </c>
      <c r="E25">
        <v>1.5762000000000002E-2</v>
      </c>
      <c r="F25">
        <f>E25/$E$3</f>
        <v>0.16937459703417151</v>
      </c>
      <c r="G25">
        <v>1.5979E-2</v>
      </c>
      <c r="H25">
        <f>G25/$E$3</f>
        <v>0.1717064259617451</v>
      </c>
      <c r="I25">
        <f>AVERAGE(D25,F25,H25)</f>
        <v>0.17344723834085538</v>
      </c>
      <c r="J25">
        <f>_xlfn.STDEV.P(D25,F25,H25)</f>
        <v>4.2195212488718844E-3</v>
      </c>
    </row>
    <row r="30" spans="1:12" x14ac:dyDescent="0.25">
      <c r="B30" t="s">
        <v>127</v>
      </c>
      <c r="C30" t="s">
        <v>131</v>
      </c>
      <c r="D30" t="s">
        <v>105</v>
      </c>
      <c r="E30" t="s">
        <v>3</v>
      </c>
      <c r="F30" t="s">
        <v>130</v>
      </c>
    </row>
    <row r="31" spans="1:12" x14ac:dyDescent="0.25">
      <c r="B31" t="s">
        <v>128</v>
      </c>
      <c r="C31">
        <v>27.75</v>
      </c>
      <c r="D31" s="5">
        <f>I24</f>
        <v>0</v>
      </c>
      <c r="E31" s="5">
        <f>J24</f>
        <v>0</v>
      </c>
      <c r="F31">
        <v>29.52</v>
      </c>
      <c r="G31">
        <f>F31/C31</f>
        <v>1.0637837837837838</v>
      </c>
      <c r="I31">
        <f>F31/C31</f>
        <v>1.0637837837837838</v>
      </c>
    </row>
    <row r="32" spans="1:12" x14ac:dyDescent="0.25">
      <c r="B32" t="s">
        <v>134</v>
      </c>
      <c r="C32">
        <v>27.75</v>
      </c>
      <c r="D32" s="5">
        <f>I25</f>
        <v>0.17344723834085538</v>
      </c>
      <c r="E32" s="5">
        <f>J25</f>
        <v>4.2195212488718844E-3</v>
      </c>
      <c r="F32">
        <v>24.01</v>
      </c>
      <c r="G32">
        <f>F32/C32</f>
        <v>0.86522522522522527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C7AF4-ED32-4E46-A337-CB377C692C26}">
  <dimension ref="A1:AR110"/>
  <sheetViews>
    <sheetView topLeftCell="A28" zoomScale="70" zoomScaleNormal="70" workbookViewId="0">
      <selection activeCell="A33" sqref="A33"/>
    </sheetView>
  </sheetViews>
  <sheetFormatPr defaultRowHeight="15" x14ac:dyDescent="0.25"/>
  <cols>
    <col min="19" max="20" width="12.28515625" customWidth="1"/>
    <col min="21" max="21" width="16.28515625" customWidth="1"/>
    <col min="24" max="24" width="9.7109375" bestFit="1" customWidth="1"/>
  </cols>
  <sheetData>
    <row r="1" spans="1:32" x14ac:dyDescent="0.25">
      <c r="A1" t="s">
        <v>148</v>
      </c>
      <c r="E1">
        <v>9.3060000000000004E-2</v>
      </c>
      <c r="M1" t="s">
        <v>29</v>
      </c>
    </row>
    <row r="2" spans="1:32" x14ac:dyDescent="0.25">
      <c r="M2" t="s">
        <v>6</v>
      </c>
      <c r="AF2" t="s">
        <v>55</v>
      </c>
    </row>
    <row r="3" spans="1:32" x14ac:dyDescent="0.25">
      <c r="F3" s="18" t="s">
        <v>28</v>
      </c>
      <c r="G3" s="18"/>
      <c r="J3" t="s">
        <v>32</v>
      </c>
      <c r="M3" t="s">
        <v>21</v>
      </c>
    </row>
    <row r="5" spans="1:32" x14ac:dyDescent="0.25">
      <c r="A5" s="1"/>
      <c r="B5" s="1" t="s">
        <v>30</v>
      </c>
      <c r="C5" s="1"/>
      <c r="D5" s="1"/>
      <c r="E5" s="1"/>
      <c r="F5" s="2"/>
      <c r="I5" s="1"/>
      <c r="J5" s="1" t="s">
        <v>31</v>
      </c>
      <c r="K5" s="1"/>
      <c r="L5" s="1"/>
      <c r="M5" s="1"/>
      <c r="N5" s="2"/>
      <c r="R5" s="1"/>
      <c r="S5" s="1" t="s">
        <v>54</v>
      </c>
      <c r="T5" s="1"/>
      <c r="U5" s="1"/>
      <c r="V5" s="1"/>
      <c r="W5" s="1"/>
      <c r="X5" s="2"/>
    </row>
    <row r="6" spans="1:32" x14ac:dyDescent="0.25">
      <c r="A6" s="1"/>
      <c r="B6" s="1" t="s">
        <v>2</v>
      </c>
      <c r="C6" s="1" t="s">
        <v>33</v>
      </c>
      <c r="D6" s="1" t="s">
        <v>58</v>
      </c>
      <c r="E6" s="1" t="s">
        <v>34</v>
      </c>
      <c r="F6" s="1"/>
      <c r="I6" s="1"/>
      <c r="J6" s="1" t="s">
        <v>2</v>
      </c>
      <c r="K6" s="1" t="s">
        <v>33</v>
      </c>
      <c r="L6" s="1"/>
      <c r="M6" s="1" t="s">
        <v>34</v>
      </c>
      <c r="N6" s="1"/>
      <c r="R6" s="1"/>
      <c r="S6" s="1" t="s">
        <v>2</v>
      </c>
      <c r="T6" s="1"/>
      <c r="U6" s="1" t="s">
        <v>33</v>
      </c>
      <c r="V6" s="1"/>
      <c r="W6" s="1" t="s">
        <v>34</v>
      </c>
      <c r="X6" s="1"/>
    </row>
    <row r="7" spans="1:32" x14ac:dyDescent="0.25">
      <c r="A7" s="1"/>
      <c r="B7" s="2" t="s">
        <v>8</v>
      </c>
      <c r="C7" s="2" t="s">
        <v>9</v>
      </c>
      <c r="D7" s="2" t="s">
        <v>8</v>
      </c>
      <c r="E7" s="2" t="s">
        <v>9</v>
      </c>
      <c r="I7" s="1"/>
      <c r="J7" s="2" t="s">
        <v>8</v>
      </c>
      <c r="K7" s="2" t="s">
        <v>9</v>
      </c>
      <c r="L7" s="2" t="s">
        <v>8</v>
      </c>
      <c r="M7" s="2" t="s">
        <v>9</v>
      </c>
      <c r="R7" s="1"/>
      <c r="S7" s="2" t="s">
        <v>8</v>
      </c>
      <c r="T7" s="2" t="s">
        <v>9</v>
      </c>
      <c r="U7" s="2" t="s">
        <v>8</v>
      </c>
      <c r="V7" s="2" t="s">
        <v>9</v>
      </c>
      <c r="W7" s="2"/>
      <c r="X7" t="s">
        <v>13</v>
      </c>
    </row>
    <row r="8" spans="1:32" x14ac:dyDescent="0.25">
      <c r="A8" s="4">
        <v>1</v>
      </c>
      <c r="B8" s="33">
        <v>0.154</v>
      </c>
      <c r="C8" s="33">
        <f>B8/$E$1</f>
        <v>1.6548463356973995</v>
      </c>
      <c r="D8" s="9">
        <v>8.6349999999999996E-2</v>
      </c>
      <c r="E8" s="9">
        <f>D8/$E$1</f>
        <v>0.9278959810874704</v>
      </c>
      <c r="I8" s="4">
        <v>1</v>
      </c>
      <c r="J8" s="33">
        <v>0.105</v>
      </c>
      <c r="K8" s="33">
        <f>J8/$E$1</f>
        <v>1.1283043197936815</v>
      </c>
      <c r="L8" s="3">
        <v>1.4137E-2</v>
      </c>
      <c r="M8" s="3">
        <f>L8/$E$1</f>
        <v>0.15191274446593594</v>
      </c>
      <c r="R8" s="4">
        <v>1</v>
      </c>
      <c r="S8" s="33">
        <v>3.5862999999999999E-2</v>
      </c>
      <c r="T8" s="33">
        <f>S8/$E$1</f>
        <v>0.38537502686438851</v>
      </c>
      <c r="U8">
        <v>3.9100000000000003E-3</v>
      </c>
      <c r="V8" s="3">
        <f>U8/$E$1</f>
        <v>4.2015903718031378E-2</v>
      </c>
      <c r="W8" s="3"/>
    </row>
    <row r="9" spans="1:32" x14ac:dyDescent="0.25">
      <c r="A9" s="1">
        <v>2</v>
      </c>
      <c r="B9" s="33">
        <v>0.153</v>
      </c>
      <c r="C9" s="33">
        <f t="shared" ref="C9:C11" si="0">B9/$E$1</f>
        <v>1.6441005802707929</v>
      </c>
      <c r="D9" s="9">
        <v>8.8919999999999999E-2</v>
      </c>
      <c r="E9" s="9">
        <f t="shared" ref="E9:E11" si="1">D9/$E$1</f>
        <v>0.95551257253384903</v>
      </c>
      <c r="I9" s="1">
        <v>2</v>
      </c>
      <c r="J9" s="33">
        <v>0.09</v>
      </c>
      <c r="K9" s="33">
        <f t="shared" ref="K9:K11" si="2">J9/$E$1</f>
        <v>0.96711798839458407</v>
      </c>
      <c r="L9" s="3">
        <v>1.4675000000000001E-2</v>
      </c>
      <c r="M9" s="3">
        <f t="shared" ref="M9:M10" si="3">L9/$E$1</f>
        <v>0.15769396088545024</v>
      </c>
      <c r="R9" s="1">
        <v>2</v>
      </c>
      <c r="S9" s="33">
        <v>2.4802999999999999E-2</v>
      </c>
      <c r="T9" s="33">
        <f>S9/$E$1</f>
        <v>0.26652697184612073</v>
      </c>
      <c r="U9">
        <v>2.4580000000000001E-3</v>
      </c>
      <c r="V9" s="3">
        <f t="shared" ref="V9:V10" si="4">U9/$E$1</f>
        <v>2.6413066838598755E-2</v>
      </c>
      <c r="W9" s="3"/>
      <c r="Y9">
        <v>3</v>
      </c>
      <c r="Z9" s="11">
        <v>4</v>
      </c>
      <c r="AA9" s="25">
        <f>E12</f>
        <v>0.93459416863672173</v>
      </c>
      <c r="AB9" s="25">
        <f>E13</f>
        <v>1.5106950839803193E-2</v>
      </c>
    </row>
    <row r="10" spans="1:32" x14ac:dyDescent="0.25">
      <c r="A10" s="1">
        <v>3</v>
      </c>
      <c r="B10" s="33">
        <v>0.15</v>
      </c>
      <c r="C10" s="33">
        <f t="shared" si="0"/>
        <v>1.6118633139909735</v>
      </c>
      <c r="D10" s="9">
        <v>8.5650000000000004E-2</v>
      </c>
      <c r="E10" s="9">
        <f t="shared" si="1"/>
        <v>0.92037395228884589</v>
      </c>
      <c r="I10" s="1">
        <v>3</v>
      </c>
      <c r="J10" s="33">
        <v>8.8999999999999996E-2</v>
      </c>
      <c r="K10" s="33">
        <f t="shared" si="2"/>
        <v>0.95637223296797758</v>
      </c>
      <c r="L10" s="3">
        <v>1.5499000000000001E-2</v>
      </c>
      <c r="M10" s="3">
        <f t="shared" si="3"/>
        <v>0.16654846335697399</v>
      </c>
      <c r="R10" s="1">
        <v>3</v>
      </c>
      <c r="S10" s="33">
        <v>2.0306000000000001E-2</v>
      </c>
      <c r="T10" s="33">
        <f>S10/$E$1</f>
        <v>0.2182033096926714</v>
      </c>
      <c r="U10">
        <v>4.3160000000000004E-3</v>
      </c>
      <c r="V10" s="3">
        <f t="shared" si="4"/>
        <v>4.6378680421233616E-2</v>
      </c>
      <c r="W10" s="3"/>
      <c r="Y10">
        <v>2.25</v>
      </c>
      <c r="Z10">
        <v>3</v>
      </c>
      <c r="AA10" s="5">
        <f>I23</f>
        <v>0.490221362561788</v>
      </c>
      <c r="AB10" s="5">
        <f>I24</f>
        <v>2.0864300321896453E-2</v>
      </c>
    </row>
    <row r="11" spans="1:32" x14ac:dyDescent="0.25">
      <c r="A11" s="1">
        <v>4</v>
      </c>
      <c r="B11" s="33">
        <v>0.13500000000000001</v>
      </c>
      <c r="C11" s="33">
        <f t="shared" si="0"/>
        <v>1.4506769825918762</v>
      </c>
      <c r="D11" s="9">
        <v>7.6300000000000007E-2</v>
      </c>
      <c r="E11" s="9">
        <f t="shared" si="1"/>
        <v>0.81990113905007522</v>
      </c>
      <c r="I11" s="1">
        <v>4</v>
      </c>
      <c r="J11" s="33">
        <v>7.5999999999999998E-2</v>
      </c>
      <c r="K11" s="33">
        <f t="shared" si="2"/>
        <v>0.81667741242209324</v>
      </c>
      <c r="L11" s="3"/>
      <c r="M11" s="3"/>
      <c r="R11" s="1" t="s">
        <v>11</v>
      </c>
      <c r="S11" s="33">
        <f>AVERAGE(S8:S10)</f>
        <v>2.6990666666666666E-2</v>
      </c>
      <c r="T11" s="33">
        <f>AVERAGE(T8:T10)</f>
        <v>0.29003510280106021</v>
      </c>
      <c r="U11">
        <f>AVERAGE(U8:U10)</f>
        <v>3.5613333333333335E-3</v>
      </c>
      <c r="V11" s="3">
        <f>AVERAGE(V8:V10)</f>
        <v>3.8269216992621251E-2</v>
      </c>
      <c r="W11" s="3"/>
      <c r="Y11">
        <v>1.5</v>
      </c>
      <c r="Z11">
        <v>2</v>
      </c>
      <c r="AA11" s="5">
        <f>M12</f>
        <v>0.15871838956945339</v>
      </c>
      <c r="AB11" s="5">
        <f>M13</f>
        <v>6.0187572062028591E-3</v>
      </c>
    </row>
    <row r="12" spans="1:32" x14ac:dyDescent="0.25">
      <c r="A12" s="1" t="s">
        <v>11</v>
      </c>
      <c r="B12" s="33">
        <f>AVERAGE(B8:B11)</f>
        <v>0.14799999999999999</v>
      </c>
      <c r="C12" s="33">
        <f>AVERAGE(C8:C10)</f>
        <v>1.6369367433197219</v>
      </c>
      <c r="D12" s="9">
        <f>AVERAGE(D8:D10)</f>
        <v>8.6973333333333333E-2</v>
      </c>
      <c r="E12" s="9">
        <f>AVERAGE(E8:E10)</f>
        <v>0.93459416863672173</v>
      </c>
      <c r="I12" s="1" t="s">
        <v>11</v>
      </c>
      <c r="J12" s="33">
        <f>AVERAGE(J8:J10)</f>
        <v>9.4666666666666677E-2</v>
      </c>
      <c r="K12" s="33">
        <f>AVERAGE(K8:K10)</f>
        <v>1.0172648470520811</v>
      </c>
      <c r="L12" s="3">
        <f>AVERAGE(L8:L10)</f>
        <v>1.4770333333333335E-2</v>
      </c>
      <c r="M12" s="3">
        <f>AVERAGE(M8:M10)</f>
        <v>0.15871838956945339</v>
      </c>
      <c r="R12" s="1" t="s">
        <v>12</v>
      </c>
      <c r="S12" s="33">
        <f>_xlfn.STDEV.P(S8:S10)</f>
        <v>6.5367920946660767E-3</v>
      </c>
      <c r="T12" s="33">
        <f>_xlfn.STDEV.P(T8:T10)</f>
        <v>7.0242769123856311E-2</v>
      </c>
      <c r="U12">
        <f>_xlfn.STDEV.P(U8:U10)</f>
        <v>7.9758691619715588E-4</v>
      </c>
      <c r="V12">
        <f>_xlfn.STDEV.P(V8:V10)</f>
        <v>8.5706739329159155E-3</v>
      </c>
      <c r="W12" s="1"/>
      <c r="Y12">
        <v>0.75</v>
      </c>
      <c r="Z12">
        <v>1</v>
      </c>
      <c r="AA12" s="5">
        <f>V11</f>
        <v>3.8269216992621251E-2</v>
      </c>
      <c r="AB12" s="5">
        <f>V12</f>
        <v>8.5706739329159155E-3</v>
      </c>
    </row>
    <row r="13" spans="1:32" x14ac:dyDescent="0.25">
      <c r="A13" s="1" t="s">
        <v>12</v>
      </c>
      <c r="B13" s="33">
        <f>_xlfn.STDEV.P(B8:B10)</f>
        <v>1.6996731711975963E-3</v>
      </c>
      <c r="C13" s="33">
        <f>_xlfn.STDEV.P(C8:C10)</f>
        <v>1.8264272202854013E-2</v>
      </c>
      <c r="D13" s="9">
        <f>_xlfn.STDEV.P(D8:D10)</f>
        <v>1.4058528451520874E-3</v>
      </c>
      <c r="E13" s="9">
        <f>_xlfn.STDEV.P(E8:E10)</f>
        <v>1.5106950839803193E-2</v>
      </c>
      <c r="I13" s="1" t="s">
        <v>12</v>
      </c>
      <c r="J13" s="33">
        <f>_xlfn.STDEV.P(J8:J10)</f>
        <v>7.3181661333667162E-3</v>
      </c>
      <c r="K13" s="33">
        <f>_xlfn.STDEV.P(K8:K10)</f>
        <v>7.8639223440433267E-2</v>
      </c>
      <c r="L13" s="1">
        <f>_xlfn.STDEV.P(L8:L10)</f>
        <v>5.6010554560923811E-4</v>
      </c>
      <c r="M13" s="1">
        <f>_xlfn.STDEV.P(M8:M10)</f>
        <v>6.0187572062028591E-3</v>
      </c>
      <c r="S13" s="33"/>
      <c r="T13" s="33"/>
      <c r="V13" s="1"/>
      <c r="W13" s="1"/>
      <c r="Y13">
        <v>0.375</v>
      </c>
      <c r="Z13">
        <v>0.5</v>
      </c>
      <c r="AA13" s="5">
        <f>T22</f>
        <v>1.4653628483415717E-2</v>
      </c>
      <c r="AB13" s="5">
        <f>T23</f>
        <v>2.5858127238760176E-3</v>
      </c>
    </row>
    <row r="14" spans="1:32" ht="12" customHeight="1" x14ac:dyDescent="0.25">
      <c r="B14" s="33"/>
      <c r="C14" s="33"/>
    </row>
    <row r="15" spans="1:32" ht="12" customHeight="1" x14ac:dyDescent="0.25"/>
    <row r="16" spans="1:32" ht="12" customHeight="1" x14ac:dyDescent="0.25">
      <c r="R16" s="1"/>
      <c r="S16" s="1" t="s">
        <v>99</v>
      </c>
      <c r="T16" s="1"/>
      <c r="U16" s="1"/>
      <c r="V16" s="1"/>
      <c r="W16" s="2"/>
    </row>
    <row r="17" spans="1:23" ht="12" customHeight="1" x14ac:dyDescent="0.25">
      <c r="G17" s="1"/>
      <c r="H17" s="1" t="s">
        <v>98</v>
      </c>
      <c r="I17" s="1"/>
      <c r="J17" s="1"/>
      <c r="K17" s="1"/>
      <c r="L17" s="2"/>
      <c r="R17" s="1"/>
      <c r="S17" s="1" t="s">
        <v>2</v>
      </c>
      <c r="T17" s="1"/>
      <c r="U17" s="1"/>
      <c r="V17" s="1"/>
      <c r="W17" s="1"/>
    </row>
    <row r="18" spans="1:23" ht="12" customHeight="1" x14ac:dyDescent="0.25">
      <c r="G18" s="1"/>
      <c r="H18" s="1" t="s">
        <v>2</v>
      </c>
      <c r="I18" s="1"/>
      <c r="J18" s="1"/>
      <c r="K18" s="1"/>
      <c r="L18" s="1"/>
      <c r="R18" s="1"/>
      <c r="S18" s="2" t="s">
        <v>97</v>
      </c>
      <c r="T18" s="2" t="s">
        <v>9</v>
      </c>
      <c r="U18" s="2"/>
      <c r="V18" s="2"/>
    </row>
    <row r="19" spans="1:23" ht="12" customHeight="1" x14ac:dyDescent="0.25">
      <c r="G19" s="1"/>
      <c r="H19" s="2" t="s">
        <v>97</v>
      </c>
      <c r="I19" s="2" t="s">
        <v>9</v>
      </c>
      <c r="J19" s="2"/>
      <c r="K19" s="2"/>
      <c r="R19" s="4">
        <v>1</v>
      </c>
      <c r="S19" s="1">
        <v>1.6770000000000001E-3</v>
      </c>
      <c r="T19" s="1">
        <f>S19/$E$1</f>
        <v>1.8020631850419085E-2</v>
      </c>
      <c r="U19" s="9"/>
      <c r="V19" s="9"/>
    </row>
    <row r="20" spans="1:23" ht="12" customHeight="1" x14ac:dyDescent="0.25">
      <c r="G20" s="4">
        <v>1</v>
      </c>
      <c r="H20" s="1">
        <v>4.3171000000000001E-2</v>
      </c>
      <c r="I20" s="1">
        <f>H20/$E$1</f>
        <v>0.46390500752202879</v>
      </c>
      <c r="J20" s="9"/>
      <c r="K20" s="9"/>
      <c r="R20" s="1">
        <v>2</v>
      </c>
      <c r="S20" s="1">
        <v>1.322E-3</v>
      </c>
      <c r="T20" s="1">
        <f t="shared" ref="T20:T21" si="5">S20/$E$1</f>
        <v>1.4205888673973779E-2</v>
      </c>
      <c r="U20" s="9"/>
      <c r="V20" s="9"/>
    </row>
    <row r="21" spans="1:23" ht="12" customHeight="1" x14ac:dyDescent="0.25">
      <c r="G21" s="1">
        <v>2</v>
      </c>
      <c r="H21" s="1">
        <v>4.5768999999999997E-2</v>
      </c>
      <c r="I21" s="1">
        <f t="shared" ref="I21:I22" si="6">H21/$E$1</f>
        <v>0.4918224801203524</v>
      </c>
      <c r="J21" s="9"/>
      <c r="K21" s="9"/>
      <c r="R21" s="1">
        <v>3</v>
      </c>
      <c r="S21" s="1">
        <v>1.0920000000000001E-3</v>
      </c>
      <c r="T21" s="1">
        <f t="shared" si="5"/>
        <v>1.1734364925854288E-2</v>
      </c>
      <c r="U21" s="9"/>
      <c r="V21" s="9"/>
    </row>
    <row r="22" spans="1:23" ht="12" customHeight="1" x14ac:dyDescent="0.25">
      <c r="G22" s="1">
        <v>3</v>
      </c>
      <c r="H22" s="1">
        <v>4.7919999999999997E-2</v>
      </c>
      <c r="I22" s="1">
        <f t="shared" si="6"/>
        <v>0.51493660004298292</v>
      </c>
      <c r="J22" s="9"/>
      <c r="K22" s="9"/>
      <c r="R22" s="1" t="s">
        <v>11</v>
      </c>
      <c r="S22" s="1">
        <f>AVERAGE(S19:S21)</f>
        <v>1.3636666666666667E-3</v>
      </c>
      <c r="T22" s="1">
        <f>AVERAGE(T19:T21)</f>
        <v>1.4653628483415717E-2</v>
      </c>
      <c r="U22" s="9"/>
      <c r="V22" s="9"/>
    </row>
    <row r="23" spans="1:23" ht="12" customHeight="1" x14ac:dyDescent="0.25">
      <c r="G23" s="1" t="s">
        <v>11</v>
      </c>
      <c r="H23" s="1">
        <f>AVERAGE(H20:H22)</f>
        <v>4.5619999999999994E-2</v>
      </c>
      <c r="I23" s="1">
        <f>AVERAGE(I20:I22)</f>
        <v>0.490221362561788</v>
      </c>
      <c r="J23" s="9"/>
      <c r="K23" s="9"/>
      <c r="R23" s="1" t="s">
        <v>12</v>
      </c>
      <c r="S23" s="1">
        <f>_xlfn.STDEV.P(S19:S21)</f>
        <v>2.4063573208390221E-4</v>
      </c>
      <c r="T23" s="1">
        <f>_xlfn.STDEV.P(T19:T21)</f>
        <v>2.5858127238760176E-3</v>
      </c>
      <c r="U23" s="9"/>
      <c r="V23" s="9"/>
    </row>
    <row r="24" spans="1:23" ht="12" customHeight="1" x14ac:dyDescent="0.25">
      <c r="G24" s="1" t="s">
        <v>12</v>
      </c>
      <c r="H24" s="1">
        <f>_xlfn.STDEV.P(H20:H22)</f>
        <v>1.9416317879556858E-3</v>
      </c>
      <c r="I24" s="1">
        <f>_xlfn.STDEV.P(I20:I22)</f>
        <v>2.0864300321896453E-2</v>
      </c>
      <c r="J24" s="9"/>
      <c r="K24" s="9"/>
      <c r="S24" s="1"/>
      <c r="T24" s="1"/>
      <c r="U24" s="9"/>
      <c r="V24" s="9"/>
    </row>
    <row r="25" spans="1:23" ht="12" customHeight="1" x14ac:dyDescent="0.25">
      <c r="H25" s="1"/>
      <c r="I25" s="1"/>
      <c r="J25" s="9"/>
      <c r="K25" s="9"/>
    </row>
    <row r="26" spans="1:23" ht="12" customHeight="1" x14ac:dyDescent="0.25"/>
    <row r="30" spans="1:23" x14ac:dyDescent="0.25">
      <c r="B30" s="2"/>
    </row>
    <row r="32" spans="1:23" x14ac:dyDescent="0.25">
      <c r="A32" t="s">
        <v>147</v>
      </c>
      <c r="E32">
        <v>9.3060000000000004E-2</v>
      </c>
      <c r="M32" t="s">
        <v>5</v>
      </c>
    </row>
    <row r="33" spans="1:44" x14ac:dyDescent="0.25">
      <c r="M33" t="s">
        <v>6</v>
      </c>
    </row>
    <row r="34" spans="1:44" x14ac:dyDescent="0.25">
      <c r="F34" s="18" t="s">
        <v>35</v>
      </c>
      <c r="G34" s="18"/>
      <c r="J34" t="s">
        <v>32</v>
      </c>
      <c r="M34" t="s">
        <v>36</v>
      </c>
    </row>
    <row r="35" spans="1:44" x14ac:dyDescent="0.25">
      <c r="Z35" t="s">
        <v>56</v>
      </c>
    </row>
    <row r="36" spans="1:44" x14ac:dyDescent="0.25">
      <c r="A36" s="1"/>
      <c r="B36" s="1" t="s">
        <v>30</v>
      </c>
      <c r="C36" s="1"/>
      <c r="D36" s="1"/>
      <c r="E36" s="1"/>
      <c r="F36" s="2"/>
      <c r="H36" s="7" t="s">
        <v>40</v>
      </c>
      <c r="I36" s="1"/>
      <c r="J36" s="1" t="s">
        <v>39</v>
      </c>
      <c r="K36" s="1"/>
      <c r="L36" s="1"/>
      <c r="M36" s="1"/>
      <c r="N36" s="2"/>
      <c r="P36" t="s">
        <v>41</v>
      </c>
      <c r="R36" s="1"/>
      <c r="S36" s="1"/>
      <c r="T36" s="1"/>
      <c r="U36" s="1"/>
      <c r="V36" s="1"/>
      <c r="W36" s="1"/>
      <c r="X36" s="2"/>
      <c r="AR36">
        <f>20*(1/3)</f>
        <v>6.6666666666666661</v>
      </c>
    </row>
    <row r="37" spans="1:44" x14ac:dyDescent="0.25">
      <c r="A37" s="1"/>
      <c r="B37" s="1" t="s">
        <v>2</v>
      </c>
      <c r="C37" s="1" t="s">
        <v>33</v>
      </c>
      <c r="D37" s="1" t="s">
        <v>58</v>
      </c>
      <c r="E37" s="3"/>
      <c r="F37" s="1" t="s">
        <v>44</v>
      </c>
      <c r="I37" s="1"/>
      <c r="J37" s="1" t="s">
        <v>2</v>
      </c>
      <c r="K37" s="1" t="s">
        <v>34</v>
      </c>
      <c r="L37" s="1" t="s">
        <v>58</v>
      </c>
      <c r="M37" s="3"/>
      <c r="N37" s="1"/>
      <c r="R37" s="1"/>
      <c r="S37" s="1" t="s">
        <v>48</v>
      </c>
      <c r="T37" s="1" t="s">
        <v>3</v>
      </c>
      <c r="U37" s="1" t="s">
        <v>49</v>
      </c>
      <c r="V37" s="1"/>
      <c r="W37" s="1"/>
      <c r="X37" s="1"/>
    </row>
    <row r="38" spans="1:44" x14ac:dyDescent="0.25">
      <c r="A38" s="1"/>
      <c r="B38" s="2" t="s">
        <v>46</v>
      </c>
      <c r="C38" s="2" t="s">
        <v>45</v>
      </c>
      <c r="D38" s="2" t="s">
        <v>8</v>
      </c>
      <c r="E38" s="2" t="s">
        <v>9</v>
      </c>
      <c r="I38" s="1"/>
      <c r="J38" s="2" t="s">
        <v>8</v>
      </c>
      <c r="K38" s="2" t="s">
        <v>9</v>
      </c>
      <c r="L38" s="2"/>
      <c r="M38" s="2"/>
      <c r="N38" s="2"/>
      <c r="Q38" s="8" t="s">
        <v>50</v>
      </c>
      <c r="R38" s="1">
        <v>24</v>
      </c>
      <c r="S38" s="2">
        <f>C43</f>
        <v>1636.9367433197219</v>
      </c>
      <c r="T38" s="2">
        <f>C44</f>
        <v>18.264272202854016</v>
      </c>
      <c r="U38" s="2">
        <f>S38/1000</f>
        <v>1.6369367433197219</v>
      </c>
      <c r="V38" s="2"/>
      <c r="W38" s="2"/>
    </row>
    <row r="39" spans="1:44" x14ac:dyDescent="0.25">
      <c r="A39" s="4">
        <v>1</v>
      </c>
      <c r="B39">
        <v>154</v>
      </c>
      <c r="C39">
        <f>B39/$E$32</f>
        <v>1654.8463356973994</v>
      </c>
      <c r="D39" s="3">
        <v>8.5000000000000006E-2</v>
      </c>
      <c r="E39" s="3">
        <f>D39/$E$32</f>
        <v>0.9133892112615517</v>
      </c>
      <c r="I39" s="4">
        <v>1</v>
      </c>
      <c r="J39" s="1">
        <v>4.4773E-2</v>
      </c>
      <c r="K39" s="1">
        <f>J39/$E$32</f>
        <v>0.48111970771545237</v>
      </c>
      <c r="L39" s="3"/>
      <c r="M39" s="3"/>
      <c r="Q39" s="8" t="s">
        <v>51</v>
      </c>
      <c r="R39" s="17">
        <v>16</v>
      </c>
      <c r="S39" s="1">
        <f>K43</f>
        <v>0.57457912457912463</v>
      </c>
      <c r="T39" s="1">
        <f>K44</f>
        <v>6.7428441583155252E-2</v>
      </c>
      <c r="U39" s="2">
        <f t="shared" ref="U39:U41" si="7">S39/1000</f>
        <v>5.7457912457912466E-4</v>
      </c>
      <c r="V39" s="3"/>
      <c r="W39" s="3"/>
    </row>
    <row r="40" spans="1:44" x14ac:dyDescent="0.25">
      <c r="A40" s="1">
        <v>2</v>
      </c>
      <c r="B40">
        <v>153</v>
      </c>
      <c r="C40">
        <f t="shared" ref="C40:C42" si="8">B40/$E$32</f>
        <v>1644.100580270793</v>
      </c>
      <c r="D40" s="3">
        <v>8.6999999999999994E-2</v>
      </c>
      <c r="E40" s="3">
        <f t="shared" ref="E40:E41" si="9">D40/$E$32</f>
        <v>0.93488072211476458</v>
      </c>
      <c r="I40" s="1">
        <v>2</v>
      </c>
      <c r="J40" s="1">
        <v>5.9345000000000002E-2</v>
      </c>
      <c r="K40" s="1">
        <f t="shared" ref="K40:K42" si="10">J40/$E$32</f>
        <v>0.63770685579196218</v>
      </c>
      <c r="L40" s="3"/>
      <c r="M40" s="3"/>
      <c r="Q40" s="8" t="s">
        <v>52</v>
      </c>
      <c r="R40" s="1">
        <v>12</v>
      </c>
      <c r="S40" s="1">
        <f>C57</f>
        <v>1350.3832652768822</v>
      </c>
      <c r="T40" s="1">
        <f>C58</f>
        <v>119.4450318828932</v>
      </c>
      <c r="U40" s="2">
        <f t="shared" si="7"/>
        <v>1.3503832652768821</v>
      </c>
      <c r="V40" s="3"/>
      <c r="W40" s="3"/>
    </row>
    <row r="41" spans="1:44" x14ac:dyDescent="0.25">
      <c r="A41" s="1">
        <v>3</v>
      </c>
      <c r="B41">
        <v>150</v>
      </c>
      <c r="C41">
        <f t="shared" si="8"/>
        <v>1611.8633139909734</v>
      </c>
      <c r="D41" s="3">
        <v>8.6999999999999994E-2</v>
      </c>
      <c r="E41" s="3">
        <f t="shared" si="9"/>
        <v>0.93488072211476458</v>
      </c>
      <c r="I41" s="1">
        <v>3</v>
      </c>
      <c r="J41" s="1">
        <v>5.6293000000000003E-2</v>
      </c>
      <c r="K41" s="1">
        <f t="shared" si="10"/>
        <v>0.60491081022995918</v>
      </c>
      <c r="L41" s="3"/>
      <c r="M41" s="3"/>
      <c r="Q41" s="8" t="s">
        <v>53</v>
      </c>
      <c r="R41" s="1">
        <v>6</v>
      </c>
      <c r="S41" s="1">
        <f>K56</f>
        <v>469.34235976789159</v>
      </c>
      <c r="T41" s="1">
        <f>K57</f>
        <v>101.80694099294774</v>
      </c>
      <c r="U41" s="2">
        <f t="shared" si="7"/>
        <v>0.46934235976789157</v>
      </c>
      <c r="V41" s="3"/>
      <c r="W41" s="3"/>
    </row>
    <row r="42" spans="1:44" x14ac:dyDescent="0.25">
      <c r="A42" s="1">
        <v>4</v>
      </c>
      <c r="B42" s="1">
        <v>134</v>
      </c>
      <c r="C42">
        <f t="shared" si="8"/>
        <v>1439.9312271652695</v>
      </c>
      <c r="D42" s="3"/>
      <c r="E42" s="3"/>
      <c r="I42" s="1">
        <v>4</v>
      </c>
      <c r="J42" s="1">
        <v>5.6374E-2</v>
      </c>
      <c r="K42" s="1">
        <f t="shared" si="10"/>
        <v>0.60578121641951432</v>
      </c>
      <c r="R42" s="1"/>
      <c r="S42" s="1"/>
      <c r="T42" s="1"/>
      <c r="U42" s="1"/>
      <c r="V42" s="3"/>
      <c r="W42" s="3"/>
    </row>
    <row r="43" spans="1:44" x14ac:dyDescent="0.25">
      <c r="A43" s="1" t="s">
        <v>11</v>
      </c>
      <c r="B43" s="1">
        <f>AVERAGE(B39:B41)</f>
        <v>152.33333333333334</v>
      </c>
      <c r="C43" s="1">
        <f>AVERAGE(C39:C41)</f>
        <v>1636.9367433197219</v>
      </c>
      <c r="D43" s="3">
        <f>AVERAGE(D39:D41)</f>
        <v>8.6333333333333331E-2</v>
      </c>
      <c r="E43" s="3">
        <f>AVERAGE(E39:E41)</f>
        <v>0.92771688516369366</v>
      </c>
      <c r="I43" s="1" t="s">
        <v>11</v>
      </c>
      <c r="J43" s="1">
        <f>AVERAGE(J39:J42)</f>
        <v>5.4196250000000001E-2</v>
      </c>
      <c r="K43" s="1">
        <f>AVERAGE(K39:K41)</f>
        <v>0.57457912457912463</v>
      </c>
      <c r="L43" s="3"/>
      <c r="M43" s="3"/>
      <c r="N43" s="8" t="str">
        <f>Q47</f>
        <v>1:2</v>
      </c>
      <c r="O43" s="5">
        <f>S47</f>
        <v>0.11885521885521884</v>
      </c>
      <c r="P43" s="5">
        <f>T47</f>
        <v>3.0739168724900501E-2</v>
      </c>
      <c r="Q43" s="8" t="s">
        <v>50</v>
      </c>
      <c r="R43" s="13">
        <v>24</v>
      </c>
      <c r="S43" s="14">
        <f>E43</f>
        <v>0.92771688516369366</v>
      </c>
      <c r="T43" s="14">
        <f>E44</f>
        <v>1.0131195374834074E-2</v>
      </c>
      <c r="U43" s="1"/>
      <c r="V43" s="1"/>
      <c r="W43" s="1"/>
    </row>
    <row r="44" spans="1:44" x14ac:dyDescent="0.25">
      <c r="A44" s="1" t="s">
        <v>12</v>
      </c>
      <c r="B44">
        <f>_xlfn.STDEV.P(B39:B41)</f>
        <v>1.699673171197595</v>
      </c>
      <c r="C44">
        <f>_xlfn.STDEV.P(C39:C41)</f>
        <v>18.264272202854016</v>
      </c>
      <c r="D44" s="1">
        <f>_xlfn.STDEV.P(D39:D41)</f>
        <v>9.4280904158205764E-4</v>
      </c>
      <c r="E44" s="1">
        <f>_xlfn.STDEV.P(E39:E41)</f>
        <v>1.0131195374834074E-2</v>
      </c>
      <c r="I44" s="1" t="s">
        <v>12</v>
      </c>
      <c r="J44" s="1">
        <f>_xlfn.STDEV.P(J39:J41)</f>
        <v>6.2748907737284346E-3</v>
      </c>
      <c r="K44" s="1">
        <f>_xlfn.STDEV.P(K39:K41)</f>
        <v>6.7428441583155252E-2</v>
      </c>
      <c r="L44" s="1"/>
      <c r="M44" s="1"/>
      <c r="N44" s="8" t="str">
        <f>Q46</f>
        <v>1:1</v>
      </c>
      <c r="O44" s="5">
        <f>S46</f>
        <v>0.50863242352604054</v>
      </c>
      <c r="P44" s="5">
        <f>T46</f>
        <v>5.3609246891236972E-2</v>
      </c>
      <c r="Q44" s="8" t="s">
        <v>137</v>
      </c>
      <c r="R44" s="1">
        <v>20</v>
      </c>
      <c r="S44" s="5">
        <f>T57</f>
        <v>0.66593595529765748</v>
      </c>
      <c r="T44" s="5">
        <f>T58</f>
        <v>4.1172138134173072E-2</v>
      </c>
      <c r="U44" s="1"/>
      <c r="V44" s="1"/>
      <c r="W44" s="1"/>
    </row>
    <row r="45" spans="1:44" x14ac:dyDescent="0.25">
      <c r="N45" s="8" t="str">
        <f>Q45</f>
        <v>3:4</v>
      </c>
      <c r="O45" s="5">
        <f>S45</f>
        <v>0.57457912457912463</v>
      </c>
      <c r="P45" s="5">
        <f>T45</f>
        <v>6.7428441583155252E-2</v>
      </c>
      <c r="Q45" s="8" t="s">
        <v>51</v>
      </c>
      <c r="R45">
        <v>16</v>
      </c>
      <c r="S45" s="5">
        <f>K43</f>
        <v>0.57457912457912463</v>
      </c>
      <c r="T45" s="5">
        <f>K44</f>
        <v>6.7428441583155252E-2</v>
      </c>
    </row>
    <row r="46" spans="1:44" x14ac:dyDescent="0.25">
      <c r="N46" s="8" t="str">
        <f>Q44</f>
        <v>3.3:2</v>
      </c>
      <c r="O46" s="5">
        <f>S44</f>
        <v>0.66593595529765748</v>
      </c>
      <c r="P46" s="5">
        <f>T44</f>
        <v>4.1172138134173072E-2</v>
      </c>
      <c r="Q46" s="8" t="str">
        <f>Q40</f>
        <v>1:1</v>
      </c>
      <c r="R46" s="1">
        <v>12</v>
      </c>
      <c r="S46" s="5">
        <f>E57</f>
        <v>0.50863242352604054</v>
      </c>
      <c r="T46" s="3">
        <f>E58</f>
        <v>5.3609246891236972E-2</v>
      </c>
    </row>
    <row r="47" spans="1:44" x14ac:dyDescent="0.25">
      <c r="N47" s="8" t="str">
        <f>Q43</f>
        <v>2:1</v>
      </c>
      <c r="O47" s="5">
        <f>S43</f>
        <v>0.92771688516369366</v>
      </c>
      <c r="P47" s="5">
        <f>T43</f>
        <v>1.0131195374834074E-2</v>
      </c>
      <c r="Q47" s="8" t="str">
        <f>Q41</f>
        <v>1:2</v>
      </c>
      <c r="R47" s="1">
        <v>6</v>
      </c>
      <c r="S47" s="5">
        <f>N56</f>
        <v>0.11885521885521884</v>
      </c>
      <c r="T47" s="5">
        <f>N57</f>
        <v>3.0739168724900501E-2</v>
      </c>
    </row>
    <row r="50" spans="1:38" x14ac:dyDescent="0.25">
      <c r="A50" s="1"/>
      <c r="B50" s="1" t="s">
        <v>37</v>
      </c>
      <c r="C50" s="1"/>
      <c r="D50" s="1"/>
      <c r="E50" s="1"/>
      <c r="F50" s="2"/>
      <c r="H50" t="s">
        <v>42</v>
      </c>
      <c r="I50" s="1"/>
      <c r="J50" s="1" t="s">
        <v>38</v>
      </c>
      <c r="K50" s="1"/>
      <c r="L50" s="1"/>
      <c r="M50" s="1"/>
      <c r="N50" s="2"/>
      <c r="P50" t="s">
        <v>43</v>
      </c>
      <c r="R50" s="1"/>
      <c r="S50" s="1" t="s">
        <v>109</v>
      </c>
      <c r="T50" s="1"/>
      <c r="U50" s="1"/>
      <c r="V50" s="1"/>
      <c r="W50" s="2"/>
      <c r="Y50" t="s">
        <v>43</v>
      </c>
    </row>
    <row r="51" spans="1:38" x14ac:dyDescent="0.25">
      <c r="A51" s="1"/>
      <c r="B51" s="1" t="s">
        <v>2</v>
      </c>
      <c r="C51" s="1" t="s">
        <v>33</v>
      </c>
      <c r="D51" s="1" t="s">
        <v>58</v>
      </c>
      <c r="E51" s="3"/>
      <c r="F51" s="1"/>
      <c r="I51" s="1"/>
      <c r="J51" s="1" t="s">
        <v>2</v>
      </c>
      <c r="K51" s="1" t="s">
        <v>33</v>
      </c>
      <c r="L51" s="1" t="s">
        <v>58</v>
      </c>
      <c r="M51" s="3"/>
      <c r="N51" s="1"/>
      <c r="R51" s="1"/>
      <c r="S51" s="1" t="s">
        <v>2</v>
      </c>
      <c r="T51" s="1" t="s">
        <v>103</v>
      </c>
      <c r="U51" s="1" t="s">
        <v>27</v>
      </c>
      <c r="V51" s="3"/>
      <c r="W51" s="1"/>
    </row>
    <row r="52" spans="1:38" x14ac:dyDescent="0.25">
      <c r="A52" s="1"/>
      <c r="B52" s="2" t="s">
        <v>47</v>
      </c>
      <c r="C52" s="2" t="s">
        <v>45</v>
      </c>
      <c r="D52" s="2" t="s">
        <v>8</v>
      </c>
      <c r="E52" s="2" t="s">
        <v>9</v>
      </c>
      <c r="I52" s="1"/>
      <c r="J52" s="2" t="s">
        <v>8</v>
      </c>
      <c r="K52" s="2" t="s">
        <v>45</v>
      </c>
      <c r="L52" s="2" t="s">
        <v>8</v>
      </c>
      <c r="M52" s="2" t="s">
        <v>45</v>
      </c>
      <c r="N52" s="2" t="s">
        <v>9</v>
      </c>
      <c r="R52" s="1"/>
      <c r="S52" s="2" t="s">
        <v>8</v>
      </c>
      <c r="T52" s="2" t="s">
        <v>45</v>
      </c>
      <c r="U52" s="2"/>
      <c r="V52" s="2"/>
      <c r="W52" s="2"/>
    </row>
    <row r="53" spans="1:38" x14ac:dyDescent="0.25">
      <c r="A53" s="4">
        <v>1</v>
      </c>
      <c r="B53" s="1">
        <v>141</v>
      </c>
      <c r="C53" s="1">
        <f>B53/$E$32</f>
        <v>1515.151515151515</v>
      </c>
      <c r="D53" s="3">
        <v>4.2000000000000003E-2</v>
      </c>
      <c r="E53" s="3">
        <f>D53/$E$32</f>
        <v>0.4513217279174726</v>
      </c>
      <c r="I53" s="4">
        <v>1</v>
      </c>
      <c r="J53" s="1">
        <v>55.024999999999999</v>
      </c>
      <c r="K53" s="1">
        <f>J53/$E$32</f>
        <v>591.28519234902205</v>
      </c>
      <c r="L53" s="3">
        <v>14.946</v>
      </c>
      <c r="M53" s="3">
        <f>L53/$E$1</f>
        <v>160.60606060606059</v>
      </c>
      <c r="N53">
        <f>M53/1000</f>
        <v>0.16060606060606059</v>
      </c>
      <c r="R53" s="4">
        <v>1</v>
      </c>
      <c r="S53" s="1">
        <v>5.8743999999999998E-2</v>
      </c>
      <c r="T53" s="1">
        <f>S53/$E$32</f>
        <v>0.63124865678057163</v>
      </c>
      <c r="U53" s="3"/>
      <c r="V53" s="3"/>
    </row>
    <row r="54" spans="1:38" x14ac:dyDescent="0.25">
      <c r="A54" s="1">
        <v>2</v>
      </c>
      <c r="B54" s="1">
        <v>121</v>
      </c>
      <c r="C54" s="1">
        <f t="shared" ref="C54:C55" si="11">B54/$E$32</f>
        <v>1300.2364066193852</v>
      </c>
      <c r="D54" s="3">
        <v>7.2999999999999995E-2</v>
      </c>
      <c r="E54" s="3">
        <f t="shared" ref="E54:E56" si="12">D54/$E$32</f>
        <v>0.78444014614227375</v>
      </c>
      <c r="I54" s="1">
        <v>2</v>
      </c>
      <c r="J54" s="1">
        <v>44.171999999999997</v>
      </c>
      <c r="K54" s="1">
        <f t="shared" ref="K54:K55" si="13">J54/$E$32</f>
        <v>474.66150870406182</v>
      </c>
      <c r="L54" s="3">
        <v>10.093999999999999</v>
      </c>
      <c r="M54" s="3">
        <f t="shared" ref="M54:M55" si="14">L54/$E$1</f>
        <v>108.4676552761659</v>
      </c>
      <c r="N54">
        <f t="shared" ref="N54:N57" si="15">M54/1000</f>
        <v>0.10846765527616591</v>
      </c>
      <c r="R54" s="1">
        <v>2</v>
      </c>
      <c r="S54" s="1">
        <v>5.9817000000000002E-2</v>
      </c>
      <c r="T54" s="1">
        <f t="shared" ref="T54:T56" si="16">S54/$E$32</f>
        <v>0.64277885235332044</v>
      </c>
      <c r="U54" s="3"/>
      <c r="V54" s="3"/>
    </row>
    <row r="55" spans="1:38" x14ac:dyDescent="0.25">
      <c r="A55" s="1">
        <v>3</v>
      </c>
      <c r="B55" s="1">
        <v>115</v>
      </c>
      <c r="C55" s="1">
        <f t="shared" si="11"/>
        <v>1235.7618740597463</v>
      </c>
      <c r="D55" s="3">
        <v>5.3999999999999999E-2</v>
      </c>
      <c r="E55" s="3">
        <f t="shared" si="12"/>
        <v>0.58027079303675044</v>
      </c>
      <c r="I55" s="1">
        <v>3</v>
      </c>
      <c r="J55" s="1">
        <v>31.834</v>
      </c>
      <c r="K55" s="1">
        <f t="shared" si="13"/>
        <v>342.08037825059102</v>
      </c>
      <c r="L55" s="3">
        <v>8.1419999999999995</v>
      </c>
      <c r="M55" s="3">
        <f t="shared" si="14"/>
        <v>87.49194068343003</v>
      </c>
      <c r="N55">
        <f t="shared" si="15"/>
        <v>8.7491940683430025E-2</v>
      </c>
      <c r="R55" s="1">
        <v>3</v>
      </c>
      <c r="S55" s="1">
        <v>5.4719999999999998E-2</v>
      </c>
      <c r="T55" s="1">
        <f t="shared" si="16"/>
        <v>0.58800773694390707</v>
      </c>
      <c r="U55" s="3"/>
      <c r="V55" s="3"/>
    </row>
    <row r="56" spans="1:38" x14ac:dyDescent="0.25">
      <c r="A56" s="1">
        <v>4</v>
      </c>
      <c r="D56" s="3">
        <v>4.5999999999999999E-2</v>
      </c>
      <c r="E56" s="3">
        <f t="shared" si="12"/>
        <v>0.49430474962389853</v>
      </c>
      <c r="I56" s="1" t="s">
        <v>11</v>
      </c>
      <c r="J56" s="1">
        <f>AVERAGE(J53:J55)</f>
        <v>43.677</v>
      </c>
      <c r="K56" s="1">
        <f>AVERAGE(K53:K55)</f>
        <v>469.34235976789159</v>
      </c>
      <c r="L56" s="3">
        <f>AVERAGE(L53:L55)</f>
        <v>11.060666666666668</v>
      </c>
      <c r="M56" s="3">
        <f>AVERAGE(M53:M55)</f>
        <v>118.85521885521884</v>
      </c>
      <c r="N56">
        <f t="shared" si="15"/>
        <v>0.11885521885521884</v>
      </c>
      <c r="R56" s="1">
        <v>4</v>
      </c>
      <c r="S56" s="1">
        <v>6.7354999999999998E-2</v>
      </c>
      <c r="T56" s="1">
        <f t="shared" si="16"/>
        <v>0.72378035675908015</v>
      </c>
      <c r="U56" s="3"/>
      <c r="V56" s="3"/>
    </row>
    <row r="57" spans="1:38" x14ac:dyDescent="0.25">
      <c r="A57" s="1" t="s">
        <v>11</v>
      </c>
      <c r="B57" s="1">
        <f>AVERAGE(B53:B55)</f>
        <v>125.66666666666667</v>
      </c>
      <c r="C57" s="1">
        <f>AVERAGE(C53:C55)</f>
        <v>1350.3832652768822</v>
      </c>
      <c r="D57" s="3">
        <f>AVERAGE(D53,D55,D56)</f>
        <v>4.7333333333333338E-2</v>
      </c>
      <c r="E57" s="3">
        <f>AVERAGE(E53,E55,E56)</f>
        <v>0.50863242352604054</v>
      </c>
      <c r="I57" s="1" t="s">
        <v>12</v>
      </c>
      <c r="J57" s="1">
        <f>_xlfn.STDEV.P(J53:J55)</f>
        <v>9.4741539288036805</v>
      </c>
      <c r="K57" s="1">
        <f>_xlfn.STDEV.P(K53:K55)</f>
        <v>101.80694099294774</v>
      </c>
      <c r="L57" s="1">
        <f>_xlfn.STDEV.P(L53:L55)</f>
        <v>2.8605870415392309</v>
      </c>
      <c r="M57" s="1">
        <f>_xlfn.STDEV.P(M53:M55)</f>
        <v>30.739168724900502</v>
      </c>
      <c r="N57">
        <f t="shared" si="15"/>
        <v>3.0739168724900501E-2</v>
      </c>
      <c r="R57" s="1" t="s">
        <v>11</v>
      </c>
      <c r="S57" s="1">
        <f>AVERAGE(S53,S54,S56)</f>
        <v>6.1971999999999999E-2</v>
      </c>
      <c r="T57" s="1">
        <f>AVERAGE(T53,T54,T56)</f>
        <v>0.66593595529765748</v>
      </c>
      <c r="U57" s="1"/>
      <c r="V57" s="1"/>
      <c r="AI57">
        <v>1</v>
      </c>
      <c r="AJ57" t="s">
        <v>75</v>
      </c>
    </row>
    <row r="58" spans="1:38" x14ac:dyDescent="0.25">
      <c r="A58" s="1" t="s">
        <v>12</v>
      </c>
      <c r="B58" s="1">
        <f>_xlfn.STDEV.P(B53:B55)</f>
        <v>11.115554667022044</v>
      </c>
      <c r="C58" s="1">
        <f>_xlfn.STDEV.P(C53:C55)</f>
        <v>119.4450318828932</v>
      </c>
      <c r="D58" s="1">
        <f>_xlfn.STDEV.P(D53,D55:D56)</f>
        <v>4.9888765156985877E-3</v>
      </c>
      <c r="E58" s="1">
        <f>_xlfn.STDEV.P(E53,E55:E56)</f>
        <v>5.3609246891236972E-2</v>
      </c>
      <c r="J58" s="1"/>
      <c r="K58" s="1"/>
      <c r="L58" s="1"/>
      <c r="M58" s="1"/>
      <c r="R58" s="1" t="s">
        <v>12</v>
      </c>
      <c r="S58" s="1">
        <f>_xlfn.STDEV.P(S53,S54,S56)</f>
        <v>3.8314791747661456E-3</v>
      </c>
      <c r="T58" s="1">
        <f>_xlfn.STDEV.P(T53,T54,T56)</f>
        <v>4.1172138134173072E-2</v>
      </c>
      <c r="AJ58">
        <v>2</v>
      </c>
      <c r="AK58" t="s">
        <v>67</v>
      </c>
    </row>
    <row r="59" spans="1:38" x14ac:dyDescent="0.25">
      <c r="AK59">
        <v>3</v>
      </c>
      <c r="AL59" t="s">
        <v>68</v>
      </c>
    </row>
    <row r="62" spans="1:38" x14ac:dyDescent="0.25">
      <c r="J62" s="18" t="s">
        <v>64</v>
      </c>
      <c r="K62" s="18"/>
      <c r="N62" t="s">
        <v>20</v>
      </c>
      <c r="P62" t="s">
        <v>26</v>
      </c>
      <c r="Q62" t="s">
        <v>27</v>
      </c>
    </row>
    <row r="65" spans="1:25" x14ac:dyDescent="0.25">
      <c r="A65" t="s">
        <v>0</v>
      </c>
      <c r="E65">
        <v>9.3060000000000004E-2</v>
      </c>
      <c r="M65" t="s">
        <v>5</v>
      </c>
    </row>
    <row r="66" spans="1:25" x14ac:dyDescent="0.25">
      <c r="M66" t="s">
        <v>6</v>
      </c>
    </row>
    <row r="67" spans="1:25" x14ac:dyDescent="0.25">
      <c r="M67" t="s">
        <v>36</v>
      </c>
    </row>
    <row r="69" spans="1:25" x14ac:dyDescent="0.25">
      <c r="A69" s="1" t="s">
        <v>10</v>
      </c>
      <c r="C69" s="1"/>
      <c r="D69" s="1"/>
      <c r="E69" s="1"/>
      <c r="F69" s="2"/>
      <c r="H69" s="1" t="s">
        <v>65</v>
      </c>
      <c r="J69" s="1"/>
      <c r="K69" s="1"/>
      <c r="L69" s="1"/>
      <c r="M69" s="2"/>
      <c r="P69" s="1" t="s">
        <v>69</v>
      </c>
      <c r="R69" s="1"/>
      <c r="S69" s="1"/>
      <c r="T69" s="1"/>
      <c r="U69" s="2"/>
      <c r="W69" s="1" t="s">
        <v>49</v>
      </c>
      <c r="X69" s="1" t="s">
        <v>3</v>
      </c>
    </row>
    <row r="70" spans="1:25" x14ac:dyDescent="0.25">
      <c r="A70" s="1"/>
      <c r="B70" s="1"/>
      <c r="D70" s="1"/>
      <c r="E70" s="3"/>
      <c r="F70" s="1"/>
      <c r="H70" s="1"/>
      <c r="I70" s="1"/>
      <c r="J70" s="1"/>
      <c r="K70" s="1"/>
      <c r="L70" s="3"/>
      <c r="M70" s="1"/>
      <c r="P70" s="1"/>
      <c r="Q70" s="1"/>
      <c r="R70" s="1"/>
      <c r="S70" s="1"/>
      <c r="T70" s="3"/>
      <c r="U70" s="1"/>
      <c r="V70" t="s">
        <v>66</v>
      </c>
      <c r="W70" s="15">
        <f>C75</f>
        <v>0.91189196933877781</v>
      </c>
      <c r="X70" s="16">
        <f>C76</f>
        <v>3.4925658421389318E-2</v>
      </c>
    </row>
    <row r="71" spans="1:25" x14ac:dyDescent="0.25">
      <c r="A71" s="1"/>
      <c r="B71" s="2" t="s">
        <v>8</v>
      </c>
      <c r="C71" s="2" t="s">
        <v>9</v>
      </c>
      <c r="D71" s="2"/>
      <c r="E71" s="2"/>
      <c r="H71" s="1"/>
      <c r="I71" s="2" t="s">
        <v>8</v>
      </c>
      <c r="J71" s="2" t="s">
        <v>9</v>
      </c>
      <c r="K71" s="2"/>
      <c r="L71" s="2"/>
      <c r="M71" s="2"/>
      <c r="P71" s="1"/>
      <c r="Q71" s="2" t="s">
        <v>8</v>
      </c>
      <c r="R71" s="2" t="s">
        <v>9</v>
      </c>
      <c r="S71" s="2"/>
      <c r="T71" s="2"/>
      <c r="U71" s="2"/>
      <c r="V71" t="s">
        <v>67</v>
      </c>
      <c r="W71" s="1">
        <f>R75</f>
        <v>0.40847481911311706</v>
      </c>
      <c r="X71" s="1">
        <f>R76</f>
        <v>5.3560414149015169E-2</v>
      </c>
    </row>
    <row r="72" spans="1:25" x14ac:dyDescent="0.25">
      <c r="A72" s="4">
        <v>1</v>
      </c>
      <c r="B72" s="1">
        <v>8.8941999999999993E-2</v>
      </c>
      <c r="C72" s="1">
        <f>B72/$E$1</f>
        <v>0.95574897915323431</v>
      </c>
      <c r="D72" s="3"/>
      <c r="E72" s="3"/>
      <c r="H72" s="4">
        <v>1</v>
      </c>
      <c r="I72" s="1">
        <v>5.9865000000000002E-2</v>
      </c>
      <c r="J72" s="1">
        <f>I72/$E$65</f>
        <v>0.64329464861379759</v>
      </c>
      <c r="K72" s="3"/>
      <c r="L72" s="3"/>
      <c r="P72" s="4">
        <v>1</v>
      </c>
      <c r="Q72" s="1">
        <v>4.5048999999999999E-2</v>
      </c>
      <c r="R72" s="1">
        <f>Q72/$E$65</f>
        <v>0.48408553621319578</v>
      </c>
      <c r="S72" s="3"/>
      <c r="T72" s="3"/>
      <c r="V72" t="s">
        <v>68</v>
      </c>
      <c r="W72" s="1">
        <f>J75</f>
        <v>0.44458055734651475</v>
      </c>
      <c r="X72" s="1">
        <f>J76</f>
        <v>0.14276530820227601</v>
      </c>
    </row>
    <row r="73" spans="1:25" x14ac:dyDescent="0.25">
      <c r="A73" s="1">
        <v>2</v>
      </c>
      <c r="B73" s="1">
        <v>8.4651000000000004E-2</v>
      </c>
      <c r="C73" s="1">
        <f t="shared" ref="C73" si="17">B73/$E$1</f>
        <v>0.90963894261766598</v>
      </c>
      <c r="D73" s="3"/>
      <c r="E73" s="3"/>
      <c r="H73" s="1">
        <v>2</v>
      </c>
      <c r="I73" s="1">
        <v>3.5006000000000002E-2</v>
      </c>
      <c r="J73" s="1">
        <f t="shared" ref="J73:J74" si="18">I73/$E$65</f>
        <v>0.37616591446378683</v>
      </c>
      <c r="K73" s="3"/>
      <c r="L73" s="3"/>
      <c r="P73" s="1">
        <v>2</v>
      </c>
      <c r="Q73" s="1">
        <v>3.4859000000000001E-2</v>
      </c>
      <c r="R73" s="1">
        <f t="shared" ref="R73:R74" si="19">Q73/$E$65</f>
        <v>0.37458628841607566</v>
      </c>
      <c r="S73" s="3"/>
      <c r="T73" s="3"/>
      <c r="V73" t="s">
        <v>73</v>
      </c>
      <c r="W73" s="1">
        <f>R77</f>
        <v>0.37066946056307759</v>
      </c>
      <c r="X73" s="1">
        <f>R78</f>
        <v>3.9168278529980727E-3</v>
      </c>
      <c r="Y73">
        <f>W70/W73</f>
        <v>2.4601216619074537</v>
      </c>
    </row>
    <row r="74" spans="1:25" x14ac:dyDescent="0.25">
      <c r="A74" s="1">
        <v>3</v>
      </c>
      <c r="B74" s="1">
        <v>8.0989000000000005E-2</v>
      </c>
      <c r="C74" s="1">
        <f>B74/$E$1</f>
        <v>0.87028798624543313</v>
      </c>
      <c r="D74" s="3"/>
      <c r="E74" s="3"/>
      <c r="H74" s="1">
        <v>3</v>
      </c>
      <c r="I74" s="1">
        <v>2.9246999999999999E-2</v>
      </c>
      <c r="J74" s="1">
        <f t="shared" si="18"/>
        <v>0.31428110896195999</v>
      </c>
      <c r="K74" s="3"/>
      <c r="L74" s="3"/>
      <c r="P74" s="1">
        <v>3</v>
      </c>
      <c r="Q74" s="1">
        <v>3.4130000000000001E-2</v>
      </c>
      <c r="R74" s="1">
        <f t="shared" si="19"/>
        <v>0.36675263271007952</v>
      </c>
      <c r="S74" s="3"/>
      <c r="T74" s="3"/>
      <c r="V74" t="s">
        <v>74</v>
      </c>
      <c r="W74">
        <f>J77</f>
        <v>0.34522351171287341</v>
      </c>
      <c r="X74">
        <f>J78</f>
        <v>3.0942402750913423E-2</v>
      </c>
      <c r="Y74">
        <f>W70/W74</f>
        <v>2.641453836137353</v>
      </c>
    </row>
    <row r="75" spans="1:25" x14ac:dyDescent="0.25">
      <c r="A75" s="1" t="s">
        <v>11</v>
      </c>
      <c r="B75" s="1">
        <f>AVERAGE(B72:B74)</f>
        <v>8.4860666666666654E-2</v>
      </c>
      <c r="C75" s="1">
        <f>AVERAGE(C72:C74)</f>
        <v>0.91189196933877781</v>
      </c>
      <c r="D75" s="3"/>
      <c r="E75" s="3"/>
      <c r="H75" s="1" t="s">
        <v>11</v>
      </c>
      <c r="I75" s="1">
        <f>AVERAGE(I72:I74)</f>
        <v>4.1372666666666669E-2</v>
      </c>
      <c r="J75" s="1">
        <f>AVERAGE(J72:J74)</f>
        <v>0.44458055734651475</v>
      </c>
      <c r="K75" s="3"/>
      <c r="L75" s="3"/>
      <c r="P75" s="1" t="s">
        <v>11</v>
      </c>
      <c r="Q75" s="1">
        <f>AVERAGE(Q72:Q74)</f>
        <v>3.8012666666666667E-2</v>
      </c>
      <c r="R75" s="1">
        <f>AVERAGE(R72:R74)</f>
        <v>0.40847481911311706</v>
      </c>
      <c r="S75" s="3"/>
      <c r="T75" s="3"/>
    </row>
    <row r="76" spans="1:25" x14ac:dyDescent="0.25">
      <c r="A76" s="1" t="s">
        <v>12</v>
      </c>
      <c r="B76" s="1">
        <f>_xlfn.STDEV.P(B72:B74)</f>
        <v>3.2501817726944939E-3</v>
      </c>
      <c r="C76" s="1">
        <f>_xlfn.STDEV.P(C72:C74)</f>
        <v>3.4925658421389318E-2</v>
      </c>
      <c r="D76" s="1"/>
      <c r="E76" s="1"/>
      <c r="H76" s="1" t="s">
        <v>12</v>
      </c>
      <c r="I76" s="1">
        <f>_xlfn.STDEV.P(I72:I74)</f>
        <v>1.3285739581303796E-2</v>
      </c>
      <c r="J76" s="1">
        <f>_xlfn.STDEV.P(J72:J74)</f>
        <v>0.14276530820227601</v>
      </c>
      <c r="K76" s="1"/>
      <c r="L76" s="1"/>
      <c r="P76" s="1" t="s">
        <v>12</v>
      </c>
      <c r="Q76" s="1">
        <f>_xlfn.STDEV.P(Q72:Q74)</f>
        <v>4.9843321407074068E-3</v>
      </c>
      <c r="R76" s="1">
        <f>_xlfn.STDEV.P(R72:R74)</f>
        <v>5.3560414149015169E-2</v>
      </c>
      <c r="S76" s="1"/>
      <c r="T76" s="1"/>
    </row>
    <row r="77" spans="1:25" x14ac:dyDescent="0.25">
      <c r="A77" s="1"/>
      <c r="B77" s="1"/>
      <c r="C77" s="1"/>
      <c r="D77" s="1"/>
      <c r="E77" s="1"/>
      <c r="H77" t="s">
        <v>70</v>
      </c>
      <c r="I77">
        <f>AVERAGE(I73,I74)</f>
        <v>3.2126500000000002E-2</v>
      </c>
      <c r="J77">
        <f>AVERAGE(J73,J74)</f>
        <v>0.34522351171287341</v>
      </c>
      <c r="K77" s="1"/>
      <c r="L77" s="1"/>
      <c r="M77" s="1"/>
      <c r="P77" t="s">
        <v>72</v>
      </c>
      <c r="Q77">
        <f>AVERAGE(Q73:Q74)</f>
        <v>3.4494499999999997E-2</v>
      </c>
      <c r="R77">
        <f>AVERAGE(R73:R74)</f>
        <v>0.37066946056307759</v>
      </c>
      <c r="S77" s="1"/>
      <c r="T77" s="1"/>
      <c r="U77" s="1"/>
      <c r="V77" t="str">
        <f>V70</f>
        <v>Genipin</v>
      </c>
      <c r="W77">
        <f t="shared" ref="W77:X77" si="20">W70</f>
        <v>0.91189196933877781</v>
      </c>
      <c r="X77">
        <f t="shared" si="20"/>
        <v>3.4925658421389318E-2</v>
      </c>
    </row>
    <row r="78" spans="1:25" x14ac:dyDescent="0.25">
      <c r="H78" t="s">
        <v>71</v>
      </c>
      <c r="I78">
        <f>_xlfn.STDEV.P(I73,I74)</f>
        <v>2.8795000000000018E-3</v>
      </c>
      <c r="J78">
        <f>_xlfn.STDEV.P(J73,J74)</f>
        <v>3.0942402750913423E-2</v>
      </c>
      <c r="P78" t="s">
        <v>71</v>
      </c>
      <c r="Q78">
        <f>_xlfn.STDEV.P(Q73:Q74)</f>
        <v>3.6450000000000019E-4</v>
      </c>
      <c r="R78">
        <f>_xlfn.STDEV.P(R73:R74)</f>
        <v>3.9168278529980727E-3</v>
      </c>
      <c r="V78" t="str">
        <f>V71</f>
        <v>BS3</v>
      </c>
      <c r="W78">
        <f t="shared" ref="W78:X79" si="21">W73</f>
        <v>0.37066946056307759</v>
      </c>
      <c r="X78">
        <f t="shared" si="21"/>
        <v>3.9168278529980727E-3</v>
      </c>
    </row>
    <row r="79" spans="1:25" x14ac:dyDescent="0.25">
      <c r="V79" t="str">
        <f>V72</f>
        <v>GA</v>
      </c>
      <c r="W79">
        <f t="shared" si="21"/>
        <v>0.34522351171287341</v>
      </c>
      <c r="X79">
        <f t="shared" si="21"/>
        <v>3.0942402750913423E-2</v>
      </c>
    </row>
    <row r="82" spans="1:24" x14ac:dyDescent="0.25">
      <c r="J82" s="18" t="s">
        <v>96</v>
      </c>
      <c r="K82" s="18"/>
      <c r="N82" t="s">
        <v>20</v>
      </c>
      <c r="P82" t="s">
        <v>26</v>
      </c>
      <c r="Q82" t="s">
        <v>27</v>
      </c>
    </row>
    <row r="83" spans="1:24" x14ac:dyDescent="0.25">
      <c r="W83">
        <f>W70/W73</f>
        <v>2.4601216619074537</v>
      </c>
    </row>
    <row r="85" spans="1:24" x14ac:dyDescent="0.25">
      <c r="A85" t="s">
        <v>0</v>
      </c>
      <c r="E85">
        <v>9.3060000000000004E-2</v>
      </c>
      <c r="M85" t="s">
        <v>5</v>
      </c>
    </row>
    <row r="86" spans="1:24" x14ac:dyDescent="0.25">
      <c r="M86" t="s">
        <v>6</v>
      </c>
    </row>
    <row r="87" spans="1:24" x14ac:dyDescent="0.25">
      <c r="M87" t="s">
        <v>36</v>
      </c>
    </row>
    <row r="88" spans="1:24" x14ac:dyDescent="0.25">
      <c r="F88" t="s">
        <v>82</v>
      </c>
      <c r="H88" t="s">
        <v>81</v>
      </c>
    </row>
    <row r="89" spans="1:24" x14ac:dyDescent="0.25">
      <c r="A89" s="1" t="s">
        <v>79</v>
      </c>
      <c r="C89" s="1"/>
      <c r="D89" s="1"/>
      <c r="E89" s="1"/>
      <c r="F89" s="2"/>
      <c r="H89" s="1" t="s">
        <v>76</v>
      </c>
      <c r="J89" s="1"/>
      <c r="K89" s="1"/>
      <c r="L89" s="1"/>
      <c r="M89" s="2"/>
      <c r="O89" s="1" t="s">
        <v>10</v>
      </c>
      <c r="Q89" s="1"/>
      <c r="R89" s="1"/>
      <c r="S89" s="1"/>
      <c r="T89" s="2"/>
      <c r="U89" t="s">
        <v>80</v>
      </c>
    </row>
    <row r="90" spans="1:24" x14ac:dyDescent="0.25">
      <c r="A90" s="1"/>
      <c r="B90" s="1"/>
      <c r="D90" s="1"/>
      <c r="E90" s="3"/>
      <c r="F90" s="1"/>
      <c r="H90" s="1"/>
      <c r="I90" s="1"/>
      <c r="K90" s="1"/>
      <c r="L90" s="3"/>
      <c r="M90" s="1"/>
      <c r="O90" s="1"/>
      <c r="P90" s="1"/>
      <c r="R90" s="1"/>
      <c r="S90" s="3"/>
      <c r="T90" s="1"/>
    </row>
    <row r="91" spans="1:24" x14ac:dyDescent="0.25">
      <c r="A91" s="1"/>
      <c r="B91" s="2" t="s">
        <v>8</v>
      </c>
      <c r="C91" s="2" t="s">
        <v>9</v>
      </c>
      <c r="D91" s="2"/>
      <c r="E91" s="2"/>
      <c r="H91" s="1"/>
      <c r="I91" s="2" t="s">
        <v>8</v>
      </c>
      <c r="J91" s="2" t="s">
        <v>9</v>
      </c>
      <c r="K91" s="2"/>
      <c r="L91" s="2"/>
      <c r="O91" s="1"/>
      <c r="P91" s="2" t="s">
        <v>8</v>
      </c>
      <c r="Q91" s="2" t="s">
        <v>9</v>
      </c>
      <c r="R91" s="2"/>
      <c r="S91" s="2"/>
      <c r="W91" t="s">
        <v>3</v>
      </c>
    </row>
    <row r="92" spans="1:24" x14ac:dyDescent="0.25">
      <c r="A92" s="4">
        <v>1</v>
      </c>
      <c r="B92" s="1">
        <v>8.7798000000000001E-2</v>
      </c>
      <c r="C92" s="1">
        <f>B92/$E$85</f>
        <v>0.94345583494519658</v>
      </c>
      <c r="D92" s="3"/>
      <c r="E92" s="3"/>
      <c r="H92" s="4">
        <v>1</v>
      </c>
      <c r="I92" s="1">
        <v>8.5371000000000002E-2</v>
      </c>
      <c r="J92" s="1">
        <f>I92/$E$85</f>
        <v>0.91737588652482271</v>
      </c>
      <c r="K92" s="3"/>
      <c r="L92" s="3"/>
      <c r="O92" s="4">
        <v>1</v>
      </c>
      <c r="P92" s="1">
        <v>8.8941999999999993E-2</v>
      </c>
      <c r="Q92" s="1">
        <f>P92/$E$1</f>
        <v>0.95574897915323431</v>
      </c>
      <c r="R92" s="3"/>
      <c r="S92" s="3"/>
      <c r="T92">
        <v>8</v>
      </c>
      <c r="U92">
        <v>6</v>
      </c>
      <c r="V92" s="5">
        <f>C96</f>
        <v>0.91875940253599819</v>
      </c>
      <c r="W92" s="5">
        <f>C97</f>
        <v>4.7800522355839363E-2</v>
      </c>
    </row>
    <row r="93" spans="1:24" x14ac:dyDescent="0.25">
      <c r="A93" s="1">
        <v>2</v>
      </c>
      <c r="B93" s="1">
        <v>8.6791999999999994E-2</v>
      </c>
      <c r="C93" s="1">
        <f t="shared" ref="C93:C95" si="22">B93/$E$85</f>
        <v>0.93264560498603044</v>
      </c>
      <c r="D93" s="3"/>
      <c r="E93" s="3"/>
      <c r="H93" s="1">
        <v>2</v>
      </c>
      <c r="I93" s="1">
        <v>8.8059999999999999E-2</v>
      </c>
      <c r="J93" s="1">
        <f t="shared" ref="J93:J95" si="23">I93/$E$85</f>
        <v>0.94627122286696752</v>
      </c>
      <c r="K93" s="3"/>
      <c r="L93" s="3"/>
      <c r="O93" s="1">
        <v>2</v>
      </c>
      <c r="P93" s="1">
        <v>8.4651000000000004E-2</v>
      </c>
      <c r="Q93" s="1">
        <f t="shared" ref="Q93" si="24">P93/$E$1</f>
        <v>0.90963894261766598</v>
      </c>
      <c r="R93" s="3"/>
      <c r="S93" s="3"/>
      <c r="T93">
        <v>6</v>
      </c>
      <c r="U93">
        <v>4.5</v>
      </c>
      <c r="V93" s="5">
        <f>J96</f>
        <v>0.94341822480120352</v>
      </c>
      <c r="W93" s="5">
        <f>J97</f>
        <v>5.325023538951288E-2</v>
      </c>
    </row>
    <row r="94" spans="1:24" x14ac:dyDescent="0.25">
      <c r="A94" s="1">
        <v>3</v>
      </c>
      <c r="B94" s="1">
        <v>7.7898999999999996E-2</v>
      </c>
      <c r="C94" s="1">
        <f t="shared" si="22"/>
        <v>0.83708360197721887</v>
      </c>
      <c r="D94" s="3"/>
      <c r="E94" s="3"/>
      <c r="H94" s="1">
        <v>3</v>
      </c>
      <c r="I94" s="1">
        <v>9.5579999999999998E-2</v>
      </c>
      <c r="J94" s="1">
        <f t="shared" si="23"/>
        <v>1.0270793036750483</v>
      </c>
      <c r="K94" s="3"/>
      <c r="L94" s="3"/>
      <c r="O94" s="1">
        <v>3</v>
      </c>
      <c r="P94" s="1">
        <v>8.0989000000000005E-2</v>
      </c>
      <c r="Q94" s="1">
        <f>P94/$E$1</f>
        <v>0.87028798624543313</v>
      </c>
      <c r="R94" s="3"/>
      <c r="S94" s="3"/>
      <c r="T94">
        <v>4</v>
      </c>
      <c r="U94">
        <v>3</v>
      </c>
      <c r="V94" s="5">
        <f>Q96</f>
        <v>0.94230962103302518</v>
      </c>
      <c r="W94" s="5">
        <f>Q97</f>
        <v>2.3222354568373006E-2</v>
      </c>
    </row>
    <row r="95" spans="1:24" x14ac:dyDescent="0.25">
      <c r="A95" s="1">
        <v>4</v>
      </c>
      <c r="B95" s="1">
        <v>8.9510000000000006E-2</v>
      </c>
      <c r="C95" s="1">
        <f t="shared" si="22"/>
        <v>0.96185256823554699</v>
      </c>
      <c r="D95" s="3"/>
      <c r="E95" s="3"/>
      <c r="H95" s="1">
        <v>4</v>
      </c>
      <c r="I95" s="1">
        <v>8.2167000000000004E-2</v>
      </c>
      <c r="J95" s="1">
        <f t="shared" si="23"/>
        <v>0.88294648613797555</v>
      </c>
      <c r="K95" s="3"/>
      <c r="L95" s="3"/>
      <c r="O95" s="1">
        <v>4</v>
      </c>
      <c r="P95" s="1">
        <v>8.9481000000000005E-2</v>
      </c>
      <c r="Q95" s="1">
        <f>P95/$E$1</f>
        <v>0.96154094132817536</v>
      </c>
      <c r="R95" s="3"/>
      <c r="S95" s="3"/>
      <c r="T95">
        <v>2</v>
      </c>
      <c r="U95">
        <v>1.5</v>
      </c>
      <c r="V95" s="5">
        <f>C109</f>
        <v>0.8932624113475176</v>
      </c>
      <c r="W95" s="5">
        <f>C110</f>
        <v>4.2108142451158528E-2</v>
      </c>
    </row>
    <row r="96" spans="1:24" x14ac:dyDescent="0.25">
      <c r="A96" s="1" t="s">
        <v>11</v>
      </c>
      <c r="B96" s="1">
        <f>AVERAGE(B92:B95)</f>
        <v>8.5499749999999985E-2</v>
      </c>
      <c r="C96" s="1">
        <f>AVERAGE(C92:C95)</f>
        <v>0.91875940253599819</v>
      </c>
      <c r="D96" s="1"/>
      <c r="E96" s="1"/>
      <c r="H96" s="1" t="s">
        <v>11</v>
      </c>
      <c r="I96" s="1">
        <f>AVERAGE(I92:I95)</f>
        <v>8.7794499999999998E-2</v>
      </c>
      <c r="J96" s="1">
        <f>AVERAGE(J92:J95)</f>
        <v>0.94341822480120352</v>
      </c>
      <c r="K96" s="1"/>
      <c r="L96" s="1"/>
      <c r="O96" s="1" t="s">
        <v>11</v>
      </c>
      <c r="P96" s="1">
        <f>AVERAGE(P92,P93,P95)</f>
        <v>8.7691333333333343E-2</v>
      </c>
      <c r="Q96" s="1">
        <f>AVERAGE(Q92,Q93,Q95)</f>
        <v>0.94230962103302518</v>
      </c>
      <c r="R96" s="1"/>
      <c r="S96" s="1"/>
      <c r="T96">
        <v>1</v>
      </c>
      <c r="U96" s="2">
        <v>0.75</v>
      </c>
      <c r="V96" s="5">
        <f>J109</f>
        <v>0.70027670320223523</v>
      </c>
      <c r="W96" s="3">
        <f>J110</f>
        <v>5.2017689423325603E-2</v>
      </c>
      <c r="X96" s="1"/>
    </row>
    <row r="97" spans="1:25" x14ac:dyDescent="0.25">
      <c r="A97" s="1" t="s">
        <v>12</v>
      </c>
      <c r="B97" s="1">
        <f>AVERAGE(B93:B96)</f>
        <v>8.4925187499999999E-2</v>
      </c>
      <c r="C97" s="1">
        <f>_xlfn.STDEV.P(C92:C94)</f>
        <v>4.7800522355839363E-2</v>
      </c>
      <c r="H97" s="1" t="s">
        <v>12</v>
      </c>
      <c r="I97" s="1">
        <f>_xlfn.STDEV.P(I92:I95)</f>
        <v>4.9554669053480703E-3</v>
      </c>
      <c r="J97" s="1">
        <f>_xlfn.STDEV.P(J92:J95)</f>
        <v>5.325023538951288E-2</v>
      </c>
      <c r="O97" s="1" t="s">
        <v>12</v>
      </c>
      <c r="P97" s="1">
        <f>_xlfn.STDEV.P(P92,P93,P95)</f>
        <v>2.1610723161327914E-3</v>
      </c>
      <c r="Q97" s="1">
        <f>_xlfn.STDEV.P(Q92,Q93,Q95)</f>
        <v>2.3222354568373006E-2</v>
      </c>
      <c r="T97" s="18">
        <v>0.5</v>
      </c>
      <c r="U97" s="1">
        <f>T97*0.75</f>
        <v>0.375</v>
      </c>
      <c r="V97" s="5">
        <f>Q109</f>
        <v>0.46894834873558278</v>
      </c>
      <c r="W97" s="10">
        <f>Q110</f>
        <v>2.5494917644113244E-2</v>
      </c>
      <c r="X97" s="10"/>
    </row>
    <row r="98" spans="1:25" x14ac:dyDescent="0.25">
      <c r="T98">
        <v>0.25</v>
      </c>
      <c r="U98" s="2">
        <f>T98*0.75</f>
        <v>0.1875</v>
      </c>
      <c r="V98" s="5">
        <f>W109</f>
        <v>0.14938391002220788</v>
      </c>
      <c r="W98" s="3">
        <f>W110</f>
        <v>2.4162410864777689E-2</v>
      </c>
      <c r="X98" s="1"/>
    </row>
    <row r="99" spans="1:25" x14ac:dyDescent="0.25">
      <c r="W99" s="1"/>
      <c r="X99" s="1"/>
    </row>
    <row r="100" spans="1:25" x14ac:dyDescent="0.25">
      <c r="F100" t="s">
        <v>83</v>
      </c>
      <c r="M100" t="s">
        <v>84</v>
      </c>
      <c r="W100" s="1"/>
      <c r="X100" s="1"/>
    </row>
    <row r="102" spans="1:25" x14ac:dyDescent="0.25">
      <c r="A102" s="1" t="s">
        <v>77</v>
      </c>
      <c r="C102" s="1"/>
      <c r="D102" s="1"/>
      <c r="E102" s="1"/>
      <c r="F102" s="2"/>
      <c r="H102" s="1" t="s">
        <v>78</v>
      </c>
      <c r="J102" s="1"/>
      <c r="K102" s="1"/>
      <c r="L102" s="1"/>
      <c r="M102" s="2"/>
      <c r="O102" s="1" t="s">
        <v>94</v>
      </c>
      <c r="Q102" s="1"/>
      <c r="R102" s="1"/>
      <c r="S102" s="1"/>
      <c r="T102" s="2"/>
      <c r="U102" s="1" t="s">
        <v>95</v>
      </c>
      <c r="W102" s="1"/>
      <c r="X102" s="1"/>
      <c r="Y102" s="1"/>
    </row>
    <row r="103" spans="1:25" x14ac:dyDescent="0.25">
      <c r="A103" s="1"/>
      <c r="B103" s="1"/>
      <c r="D103" s="1"/>
      <c r="E103" s="3"/>
      <c r="F103" s="1"/>
      <c r="H103" s="1"/>
      <c r="I103" s="1"/>
      <c r="K103" s="1"/>
      <c r="L103" s="3"/>
      <c r="M103" s="1"/>
      <c r="O103" s="1"/>
      <c r="P103" s="1"/>
      <c r="R103" s="1"/>
      <c r="S103" s="3"/>
      <c r="T103" s="1"/>
      <c r="U103" s="1"/>
      <c r="V103" s="1"/>
      <c r="X103" s="1"/>
      <c r="Y103" s="3"/>
    </row>
    <row r="104" spans="1:25" x14ac:dyDescent="0.25">
      <c r="A104" s="1"/>
      <c r="B104" s="2" t="s">
        <v>8</v>
      </c>
      <c r="C104" s="2" t="s">
        <v>9</v>
      </c>
      <c r="D104" s="2"/>
      <c r="E104" s="2"/>
      <c r="H104" s="1"/>
      <c r="I104" s="2" t="s">
        <v>8</v>
      </c>
      <c r="J104" s="2" t="s">
        <v>9</v>
      </c>
      <c r="K104" s="2"/>
      <c r="L104" s="2"/>
      <c r="O104" s="1"/>
      <c r="P104" s="2" t="s">
        <v>8</v>
      </c>
      <c r="Q104" s="2" t="s">
        <v>9</v>
      </c>
      <c r="R104" s="2"/>
      <c r="S104" s="2"/>
      <c r="U104" s="1"/>
      <c r="V104" s="2" t="s">
        <v>8</v>
      </c>
      <c r="W104" s="2" t="s">
        <v>9</v>
      </c>
      <c r="X104" s="2"/>
      <c r="Y104" s="2"/>
    </row>
    <row r="105" spans="1:25" x14ac:dyDescent="0.25">
      <c r="A105" s="4">
        <v>1</v>
      </c>
      <c r="B105" s="1">
        <v>8.8189000000000003E-2</v>
      </c>
      <c r="C105" s="1">
        <f>B105/$E$85</f>
        <v>0.94765742531699981</v>
      </c>
      <c r="D105" s="3"/>
      <c r="E105" s="3"/>
      <c r="H105" s="4">
        <v>1</v>
      </c>
      <c r="I105" s="1">
        <v>7.1152000000000007E-2</v>
      </c>
      <c r="J105" s="1">
        <f>I105/$E$85</f>
        <v>0.76458199011390504</v>
      </c>
      <c r="K105" s="3"/>
      <c r="L105" s="3"/>
      <c r="O105" s="4">
        <v>1</v>
      </c>
      <c r="P105">
        <v>3.7501E-2</v>
      </c>
      <c r="Q105">
        <f>P105/$E$85</f>
        <v>0.40297657425316996</v>
      </c>
      <c r="R105" s="3"/>
      <c r="S105" s="3"/>
      <c r="U105" s="4">
        <v>1</v>
      </c>
      <c r="V105" s="1">
        <v>1.3252999999999999E-2</v>
      </c>
      <c r="W105" s="1">
        <f>V105/$E$85</f>
        <v>0.14241349666881581</v>
      </c>
      <c r="X105" s="3"/>
      <c r="Y105" s="3"/>
    </row>
    <row r="106" spans="1:25" x14ac:dyDescent="0.25">
      <c r="A106" s="1">
        <v>2</v>
      </c>
      <c r="B106" s="1">
        <v>7.7176999999999996E-2</v>
      </c>
      <c r="C106" s="1">
        <f t="shared" ref="C106:C108" si="25">B106/$E$85</f>
        <v>0.82932516655920907</v>
      </c>
      <c r="D106" s="3"/>
      <c r="E106" s="3"/>
      <c r="H106" s="1">
        <v>2</v>
      </c>
      <c r="I106" s="1">
        <v>6.0606E-2</v>
      </c>
      <c r="J106" s="1">
        <f t="shared" ref="J106:J108" si="26">I106/$E$85</f>
        <v>0.65125725338491292</v>
      </c>
      <c r="K106" s="3"/>
      <c r="L106" s="3"/>
      <c r="O106" s="1">
        <v>2</v>
      </c>
      <c r="P106">
        <v>4.0381E-2</v>
      </c>
      <c r="Q106">
        <f t="shared" ref="Q106:Q108" si="27">P106/$E$85</f>
        <v>0.43392434988179668</v>
      </c>
      <c r="R106" s="3"/>
      <c r="S106" s="3"/>
      <c r="U106" s="1">
        <v>2</v>
      </c>
      <c r="V106" s="1">
        <v>2.1686E-2</v>
      </c>
      <c r="W106" s="1">
        <f>V106/$E$85</f>
        <v>0.23303245218138835</v>
      </c>
      <c r="X106" s="3"/>
      <c r="Y106" s="3"/>
    </row>
    <row r="107" spans="1:25" x14ac:dyDescent="0.25">
      <c r="A107" s="1">
        <v>3</v>
      </c>
      <c r="B107" s="1">
        <v>8.3554000000000003E-2</v>
      </c>
      <c r="C107" s="1">
        <f t="shared" si="25"/>
        <v>0.8978508489146787</v>
      </c>
      <c r="D107" s="3"/>
      <c r="E107" s="3"/>
      <c r="H107" s="1">
        <v>3</v>
      </c>
      <c r="I107" s="1">
        <v>6.8705000000000002E-2</v>
      </c>
      <c r="J107" s="1">
        <f t="shared" si="26"/>
        <v>0.73828712658499895</v>
      </c>
      <c r="K107" s="3"/>
      <c r="L107" s="3"/>
      <c r="O107" s="1">
        <v>3</v>
      </c>
      <c r="P107" s="1">
        <v>4.4580000000000002E-2</v>
      </c>
      <c r="Q107">
        <f t="shared" si="27"/>
        <v>0.47904577691811734</v>
      </c>
      <c r="R107" s="3"/>
      <c r="S107" s="3"/>
      <c r="U107" s="1">
        <v>3</v>
      </c>
      <c r="V107" s="1">
        <v>1.153E-2</v>
      </c>
      <c r="W107" s="1">
        <f t="shared" ref="W107:W108" si="28">V107/$E$85</f>
        <v>0.12389856006877284</v>
      </c>
      <c r="X107" s="3"/>
      <c r="Y107" s="3"/>
    </row>
    <row r="108" spans="1:25" x14ac:dyDescent="0.25">
      <c r="A108" s="1">
        <v>4</v>
      </c>
      <c r="B108" s="1">
        <v>8.3587999999999996E-2</v>
      </c>
      <c r="C108" s="1">
        <f t="shared" si="25"/>
        <v>0.89821620459918328</v>
      </c>
      <c r="D108" s="3"/>
      <c r="E108" s="3"/>
      <c r="H108" s="1">
        <v>4</v>
      </c>
      <c r="I108" s="1">
        <v>6.0207999999999998E-2</v>
      </c>
      <c r="J108" s="1">
        <f t="shared" si="26"/>
        <v>0.64698044272512356</v>
      </c>
      <c r="K108" s="3"/>
      <c r="L108" s="3"/>
      <c r="O108" s="1">
        <v>4</v>
      </c>
      <c r="P108" s="1">
        <v>4.5960000000000001E-2</v>
      </c>
      <c r="Q108">
        <f t="shared" si="27"/>
        <v>0.49387491940683431</v>
      </c>
      <c r="R108" s="3"/>
      <c r="S108" s="3"/>
      <c r="U108" s="1">
        <v>4</v>
      </c>
      <c r="V108" s="1">
        <v>1.6922E-2</v>
      </c>
      <c r="W108" s="1">
        <f t="shared" si="28"/>
        <v>0.18183967332903503</v>
      </c>
      <c r="X108" s="3"/>
      <c r="Y108" s="3"/>
    </row>
    <row r="109" spans="1:25" x14ac:dyDescent="0.25">
      <c r="A109" s="1" t="s">
        <v>11</v>
      </c>
      <c r="B109" s="1">
        <f>AVERAGE(B105:B108)</f>
        <v>8.3127000000000006E-2</v>
      </c>
      <c r="C109" s="1">
        <f>AVERAGE(C105:C108)</f>
        <v>0.8932624113475176</v>
      </c>
      <c r="D109" s="1"/>
      <c r="E109" s="1"/>
      <c r="H109" s="1" t="s">
        <v>11</v>
      </c>
      <c r="I109" s="1">
        <f>AVERAGE(I105:I108)</f>
        <v>6.5167749999999997E-2</v>
      </c>
      <c r="J109" s="1">
        <f>AVERAGE(J105:J108)</f>
        <v>0.70027670320223523</v>
      </c>
      <c r="K109" s="1"/>
      <c r="L109" s="1"/>
      <c r="O109" s="1" t="s">
        <v>11</v>
      </c>
      <c r="P109" s="1">
        <f>AVERAGE(P106:P108)</f>
        <v>4.3640333333333337E-2</v>
      </c>
      <c r="Q109" s="1">
        <f>AVERAGE(Q106:Q108)</f>
        <v>0.46894834873558278</v>
      </c>
      <c r="R109" s="1"/>
      <c r="S109" s="1"/>
      <c r="U109" s="1" t="s">
        <v>11</v>
      </c>
      <c r="V109" s="1">
        <f>AVERAGE(V105,V108,V107)</f>
        <v>1.3901666666666666E-2</v>
      </c>
      <c r="W109" s="1">
        <f>AVERAGE(W105,W108,W107)</f>
        <v>0.14938391002220788</v>
      </c>
      <c r="X109" s="1"/>
      <c r="Y109" s="1"/>
    </row>
    <row r="110" spans="1:25" x14ac:dyDescent="0.25">
      <c r="A110" s="1" t="s">
        <v>12</v>
      </c>
      <c r="B110">
        <f>_xlfn.STDEV.P(B105:B108)</f>
        <v>3.9185837365048127E-3</v>
      </c>
      <c r="C110">
        <f>_xlfn.STDEV.P(C105:C108)</f>
        <v>4.2108142451158528E-2</v>
      </c>
      <c r="H110" s="1" t="s">
        <v>12</v>
      </c>
      <c r="I110">
        <f>_xlfn.STDEV.P(I105:I108)</f>
        <v>4.840766177734681E-3</v>
      </c>
      <c r="J110" s="1">
        <f>_xlfn.STDEV.P(J105:J108)</f>
        <v>5.2017689423325603E-2</v>
      </c>
      <c r="O110" s="1" t="s">
        <v>12</v>
      </c>
      <c r="P110">
        <f>_xlfn.STDEV.P(P106:P108)</f>
        <v>2.372557035961178E-3</v>
      </c>
      <c r="Q110">
        <f>_xlfn.STDEV.P(Q106:Q108)</f>
        <v>2.5494917644113244E-2</v>
      </c>
      <c r="U110" s="1" t="s">
        <v>12</v>
      </c>
      <c r="V110">
        <f>_xlfn.STDEV.P(V105,V107,V108)</f>
        <v>2.2485539550762147E-3</v>
      </c>
      <c r="W110">
        <f>_xlfn.STDEV.P(W105,W107,W108)</f>
        <v>2.4162410864777689E-2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9D042-CDB0-4711-BCF7-F75092CE21F4}">
  <dimension ref="A1:X28"/>
  <sheetViews>
    <sheetView zoomScale="85" zoomScaleNormal="85" workbookViewId="0">
      <selection activeCell="P34" sqref="P34:P35"/>
    </sheetView>
  </sheetViews>
  <sheetFormatPr defaultRowHeight="15" x14ac:dyDescent="0.25"/>
  <sheetData>
    <row r="1" spans="1:24" x14ac:dyDescent="0.25">
      <c r="B1" t="s">
        <v>2</v>
      </c>
      <c r="I1" t="s">
        <v>85</v>
      </c>
      <c r="P1" t="s">
        <v>86</v>
      </c>
    </row>
    <row r="2" spans="1:24" x14ac:dyDescent="0.25">
      <c r="C2" s="1"/>
      <c r="D2" s="1"/>
      <c r="J2" s="1"/>
      <c r="K2" s="1"/>
      <c r="Q2" s="1"/>
      <c r="R2" s="1"/>
    </row>
    <row r="3" spans="1:24" x14ac:dyDescent="0.25">
      <c r="A3" s="1" t="s">
        <v>10</v>
      </c>
      <c r="B3" s="1"/>
      <c r="D3" s="1"/>
      <c r="H3" s="1" t="s">
        <v>10</v>
      </c>
      <c r="I3" s="1"/>
      <c r="K3" s="1"/>
      <c r="O3" s="1" t="s">
        <v>10</v>
      </c>
      <c r="P3" s="1"/>
      <c r="R3" s="1"/>
    </row>
    <row r="4" spans="1:24" x14ac:dyDescent="0.25">
      <c r="A4" s="1"/>
      <c r="B4" s="2" t="s">
        <v>8</v>
      </c>
      <c r="C4" s="2" t="s">
        <v>9</v>
      </c>
      <c r="D4" s="2"/>
      <c r="H4" s="1"/>
      <c r="I4" s="2" t="s">
        <v>8</v>
      </c>
      <c r="J4" s="2" t="s">
        <v>9</v>
      </c>
      <c r="K4" s="2"/>
      <c r="O4" s="1"/>
      <c r="P4" s="2" t="s">
        <v>8</v>
      </c>
      <c r="Q4" s="2" t="s">
        <v>9</v>
      </c>
      <c r="R4" s="2"/>
    </row>
    <row r="5" spans="1:24" x14ac:dyDescent="0.25">
      <c r="A5" s="4">
        <v>1</v>
      </c>
      <c r="B5" s="1">
        <v>5.6799000000000002E-2</v>
      </c>
      <c r="C5" s="1">
        <f>B5/$E$14</f>
        <v>0.61034816247582202</v>
      </c>
      <c r="D5" s="3"/>
      <c r="H5" s="4">
        <v>1</v>
      </c>
      <c r="I5" s="1">
        <v>5.3070000000000001E-3</v>
      </c>
      <c r="J5" s="1">
        <f>I5/$K$14</f>
        <v>0.15832338902147972</v>
      </c>
      <c r="K5" s="3"/>
      <c r="O5" s="4">
        <v>1</v>
      </c>
      <c r="P5" s="1">
        <v>1.106E-2</v>
      </c>
      <c r="Q5" s="1">
        <f>P5/$S$13</f>
        <v>0.3303464755077658</v>
      </c>
      <c r="R5" s="3"/>
    </row>
    <row r="6" spans="1:24" x14ac:dyDescent="0.25">
      <c r="A6" s="1">
        <v>2</v>
      </c>
      <c r="B6" s="1">
        <v>7.7526999999999999E-2</v>
      </c>
      <c r="C6" s="1">
        <f t="shared" ref="C6:C8" si="0">B6/$E$14</f>
        <v>0.83308618095852138</v>
      </c>
      <c r="D6" s="3"/>
      <c r="H6" s="1">
        <v>2</v>
      </c>
      <c r="I6" s="1">
        <v>1.5570000000000001E-2</v>
      </c>
      <c r="J6" s="1">
        <f t="shared" ref="J6:J8" si="1">I6/$K$14</f>
        <v>0.46449880668257759</v>
      </c>
      <c r="K6" s="3"/>
      <c r="O6" s="1">
        <v>2</v>
      </c>
      <c r="P6" s="1">
        <v>1.634E-2</v>
      </c>
      <c r="Q6" s="1">
        <f t="shared" ref="Q6:Q7" si="2">P6/$S$13</f>
        <v>0.48805256869772995</v>
      </c>
      <c r="R6" s="3"/>
    </row>
    <row r="7" spans="1:24" x14ac:dyDescent="0.25">
      <c r="A7" s="1">
        <v>3</v>
      </c>
      <c r="B7" s="1">
        <v>7.9247999999999999E-2</v>
      </c>
      <c r="C7" s="1">
        <f t="shared" si="0"/>
        <v>0.85157962604771109</v>
      </c>
      <c r="D7" s="3"/>
      <c r="H7" s="1">
        <v>3</v>
      </c>
      <c r="I7" s="1">
        <v>1.9986E-2</v>
      </c>
      <c r="J7" s="1">
        <f t="shared" si="1"/>
        <v>0.59624105011933171</v>
      </c>
      <c r="K7" s="3"/>
      <c r="O7" s="1">
        <v>3</v>
      </c>
      <c r="P7" s="1">
        <v>1.6778000000000001E-2</v>
      </c>
      <c r="Q7" s="1">
        <f t="shared" si="2"/>
        <v>0.50113500597371563</v>
      </c>
      <c r="R7" s="3"/>
    </row>
    <row r="8" spans="1:24" x14ac:dyDescent="0.25">
      <c r="A8" s="1">
        <v>4</v>
      </c>
      <c r="B8" s="1">
        <v>7.7904000000000001E-2</v>
      </c>
      <c r="C8" s="1">
        <f t="shared" si="0"/>
        <v>0.83713733075435204</v>
      </c>
      <c r="D8" s="3"/>
      <c r="H8" s="1">
        <v>4</v>
      </c>
      <c r="I8" s="1">
        <v>2.0944000000000001E-2</v>
      </c>
      <c r="J8" s="1">
        <f t="shared" si="1"/>
        <v>0.62482100238663485</v>
      </c>
      <c r="K8" s="3"/>
      <c r="O8" s="1" t="s">
        <v>11</v>
      </c>
      <c r="P8" s="1">
        <f>AVERAGE(P5:P7)</f>
        <v>1.4726000000000001E-2</v>
      </c>
      <c r="Q8" s="1">
        <f>AVERAGE(Q5:Q7)</f>
        <v>0.43984468339307048</v>
      </c>
      <c r="R8" s="3"/>
    </row>
    <row r="9" spans="1:24" x14ac:dyDescent="0.25">
      <c r="A9" s="1" t="s">
        <v>11</v>
      </c>
      <c r="B9" s="1">
        <f>AVERAGE(B6:B8)</f>
        <v>7.8226333333333328E-2</v>
      </c>
      <c r="C9" s="1">
        <f>AVERAGE(C6:C8)</f>
        <v>0.8406010459201948</v>
      </c>
      <c r="D9" s="1"/>
      <c r="H9" s="1" t="s">
        <v>11</v>
      </c>
      <c r="I9" s="1">
        <f>AVERAGE(I6:I8)</f>
        <v>1.8833333333333337E-2</v>
      </c>
      <c r="J9" s="1">
        <f>AVERAGE(J6:J8)</f>
        <v>0.56185361972951464</v>
      </c>
      <c r="K9" s="1"/>
      <c r="O9" t="s">
        <v>3</v>
      </c>
      <c r="P9" s="1">
        <f>_xlfn.STDEV.P(P5:P7)</f>
        <v>2.5984133620346093E-3</v>
      </c>
      <c r="Q9" s="1">
        <f>_xlfn.STDEV.P(Q5:Q7)</f>
        <v>7.7610912844522137E-2</v>
      </c>
      <c r="R9" s="1"/>
    </row>
    <row r="10" spans="1:24" x14ac:dyDescent="0.25">
      <c r="A10" s="1" t="s">
        <v>12</v>
      </c>
      <c r="B10">
        <f>_xlfn.STDEV.P(B6:B8)</f>
        <v>7.3864034249122574E-4</v>
      </c>
      <c r="C10">
        <f>_xlfn.STDEV.P(C6:C8)</f>
        <v>7.9372484686355375E-3</v>
      </c>
      <c r="H10" s="1" t="s">
        <v>12</v>
      </c>
      <c r="I10">
        <f>_xlfn.STDEV.P(I6:I8)</f>
        <v>2.3404343376580527E-3</v>
      </c>
      <c r="J10" s="1">
        <f>_xlfn.STDEV.P(J6:J8)</f>
        <v>6.9822026779775406E-2</v>
      </c>
    </row>
    <row r="11" spans="1:24" x14ac:dyDescent="0.25">
      <c r="U11" t="s">
        <v>138</v>
      </c>
      <c r="V11">
        <v>1</v>
      </c>
      <c r="W11">
        <f>'stężenie TH i genipin'!V94</f>
        <v>0.94230962103302518</v>
      </c>
      <c r="X11">
        <f>'stężenie TH i genipin'!W94</f>
        <v>2.3222354568373006E-2</v>
      </c>
    </row>
    <row r="12" spans="1:24" x14ac:dyDescent="0.25">
      <c r="U12" t="s">
        <v>139</v>
      </c>
      <c r="V12">
        <v>2</v>
      </c>
      <c r="W12" s="5">
        <f>J9</f>
        <v>0.56185361972951464</v>
      </c>
      <c r="X12" s="5">
        <f>J10</f>
        <v>6.9822026779775406E-2</v>
      </c>
    </row>
    <row r="13" spans="1:24" x14ac:dyDescent="0.25">
      <c r="O13" t="s">
        <v>0</v>
      </c>
      <c r="S13">
        <v>3.3480000000000003E-2</v>
      </c>
      <c r="U13" t="s">
        <v>140</v>
      </c>
      <c r="V13">
        <v>3</v>
      </c>
      <c r="W13" s="5">
        <f>Q8</f>
        <v>0.43984468339307048</v>
      </c>
      <c r="X13" s="5">
        <f>Q9</f>
        <v>7.7610912844522137E-2</v>
      </c>
    </row>
    <row r="14" spans="1:24" x14ac:dyDescent="0.25">
      <c r="A14" t="s">
        <v>0</v>
      </c>
      <c r="E14">
        <v>9.3060000000000004E-2</v>
      </c>
      <c r="G14" t="s">
        <v>0</v>
      </c>
      <c r="K14">
        <v>3.3520000000000001E-2</v>
      </c>
    </row>
    <row r="16" spans="1:24" x14ac:dyDescent="0.25">
      <c r="H16">
        <f>1/1000</f>
        <v>1E-3</v>
      </c>
      <c r="J16">
        <f>H16*H17</f>
        <v>1.0000000000000001E-5</v>
      </c>
      <c r="K16">
        <v>309.61</v>
      </c>
    </row>
    <row r="17" spans="8:17" x14ac:dyDescent="0.25">
      <c r="H17">
        <f>10/1000</f>
        <v>0.01</v>
      </c>
      <c r="K17">
        <f>K16*J16</f>
        <v>3.0961000000000005E-3</v>
      </c>
      <c r="L17">
        <f>K17*1000</f>
        <v>3.0961000000000003</v>
      </c>
      <c r="O17" t="s">
        <v>89</v>
      </c>
      <c r="P17" t="s">
        <v>87</v>
      </c>
      <c r="Q17" t="s">
        <v>90</v>
      </c>
    </row>
    <row r="18" spans="8:17" x14ac:dyDescent="0.25">
      <c r="P18" t="s">
        <v>88</v>
      </c>
    </row>
    <row r="19" spans="8:17" x14ac:dyDescent="0.25">
      <c r="O19">
        <v>1</v>
      </c>
      <c r="P19">
        <v>8.0030000000000004E-2</v>
      </c>
    </row>
    <row r="20" spans="8:17" x14ac:dyDescent="0.25">
      <c r="O20">
        <v>2</v>
      </c>
      <c r="P20">
        <v>7.0800000000000002E-2</v>
      </c>
    </row>
    <row r="21" spans="8:17" x14ac:dyDescent="0.25">
      <c r="O21">
        <v>3</v>
      </c>
      <c r="P21">
        <v>6.5040000000000001E-2</v>
      </c>
    </row>
    <row r="22" spans="8:17" x14ac:dyDescent="0.25">
      <c r="H22" t="s">
        <v>89</v>
      </c>
      <c r="I22" t="s">
        <v>92</v>
      </c>
      <c r="J22" t="s">
        <v>93</v>
      </c>
      <c r="O22" t="s">
        <v>91</v>
      </c>
      <c r="P22">
        <f>AVERAGE(P19:P21)</f>
        <v>7.1956666666666669E-2</v>
      </c>
    </row>
    <row r="23" spans="8:17" x14ac:dyDescent="0.25">
      <c r="I23" t="s">
        <v>88</v>
      </c>
      <c r="O23" t="s">
        <v>3</v>
      </c>
      <c r="P23">
        <f>_xlfn.STDEV.P(P19:P21)</f>
        <v>6.1740550334083979E-3</v>
      </c>
    </row>
    <row r="24" spans="8:17" x14ac:dyDescent="0.25">
      <c r="H24">
        <v>1</v>
      </c>
      <c r="I24">
        <v>16.600000000000001</v>
      </c>
    </row>
    <row r="25" spans="8:17" x14ac:dyDescent="0.25">
      <c r="H25">
        <v>2</v>
      </c>
      <c r="I25">
        <v>16.013000000000002</v>
      </c>
    </row>
    <row r="26" spans="8:17" x14ac:dyDescent="0.25">
      <c r="H26">
        <v>3</v>
      </c>
      <c r="I26">
        <v>15.727</v>
      </c>
    </row>
    <row r="27" spans="8:17" x14ac:dyDescent="0.25">
      <c r="H27" t="s">
        <v>91</v>
      </c>
      <c r="I27">
        <f>AVERAGE(I24:I26)</f>
        <v>16.113333333333333</v>
      </c>
    </row>
    <row r="28" spans="8:17" x14ac:dyDescent="0.25">
      <c r="H28" t="s">
        <v>3</v>
      </c>
      <c r="I28">
        <f>_xlfn.STDEV.P(I24:I26)</f>
        <v>0.36339357298786829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3E4B8-6EFA-4871-8C31-B5BB9506508D}">
  <dimension ref="A1:AK52"/>
  <sheetViews>
    <sheetView topLeftCell="D1" zoomScale="70" zoomScaleNormal="70" workbookViewId="0">
      <selection activeCell="F58" sqref="F58"/>
    </sheetView>
  </sheetViews>
  <sheetFormatPr defaultRowHeight="15" x14ac:dyDescent="0.25"/>
  <cols>
    <col min="12" max="12" width="10.42578125" bestFit="1" customWidth="1"/>
    <col min="30" max="30" width="11.5703125" bestFit="1" customWidth="1"/>
  </cols>
  <sheetData>
    <row r="1" spans="1:17" x14ac:dyDescent="0.25">
      <c r="M1" t="s">
        <v>118</v>
      </c>
      <c r="N1" t="s">
        <v>119</v>
      </c>
      <c r="O1" t="s">
        <v>120</v>
      </c>
    </row>
    <row r="2" spans="1:17" x14ac:dyDescent="0.25">
      <c r="B2" t="s">
        <v>117</v>
      </c>
      <c r="C2" t="s">
        <v>110</v>
      </c>
      <c r="D2" t="s">
        <v>111</v>
      </c>
      <c r="E2" t="s">
        <v>112</v>
      </c>
      <c r="F2" t="s">
        <v>113</v>
      </c>
      <c r="G2" t="s">
        <v>114</v>
      </c>
      <c r="H2" t="s">
        <v>115</v>
      </c>
      <c r="I2" t="s">
        <v>116</v>
      </c>
      <c r="J2" t="s">
        <v>3</v>
      </c>
      <c r="K2" t="s">
        <v>123</v>
      </c>
    </row>
    <row r="3" spans="1:17" x14ac:dyDescent="0.25">
      <c r="A3">
        <v>0</v>
      </c>
      <c r="B3">
        <v>1</v>
      </c>
      <c r="C3">
        <f>'dobór pH'!J54</f>
        <v>7.5910000000000005E-2</v>
      </c>
      <c r="D3">
        <f>'dobór pH'!K54</f>
        <v>0.81571029443369869</v>
      </c>
      <c r="E3">
        <f>'dobór pH'!J57</f>
        <v>7.9973000000000002E-2</v>
      </c>
      <c r="F3">
        <f>'dobór pH'!K57</f>
        <v>0.85937029873200088</v>
      </c>
      <c r="G3">
        <v>7.9939999999999997E-2</v>
      </c>
      <c r="H3">
        <f>G3/$Q$3</f>
        <v>0.85901568880292278</v>
      </c>
      <c r="I3">
        <f>AVERAGE(D3,F3,H3)</f>
        <v>0.84469876065620753</v>
      </c>
      <c r="J3">
        <f>_xlfn.STDEV.P(D3,F3,H3)</f>
        <v>2.0498452258655996E-2</v>
      </c>
      <c r="K3">
        <f>I3/I3</f>
        <v>1</v>
      </c>
      <c r="L3" s="30">
        <f>K3*100</f>
        <v>100</v>
      </c>
      <c r="M3" t="s">
        <v>0</v>
      </c>
      <c r="Q3">
        <v>9.3060000000000004E-2</v>
      </c>
    </row>
    <row r="4" spans="1:17" x14ac:dyDescent="0.25">
      <c r="A4">
        <v>2</v>
      </c>
      <c r="B4">
        <v>3</v>
      </c>
      <c r="C4">
        <v>8.0860000000000001E-2</v>
      </c>
      <c r="D4">
        <f t="shared" ref="D4:D6" si="0">C4/$Q$3</f>
        <v>0.86890178379540084</v>
      </c>
      <c r="E4">
        <v>7.1870000000000003E-2</v>
      </c>
      <c r="F4">
        <f t="shared" ref="F4:F6" si="1">E4/$Q$3</f>
        <v>0.77229744251020849</v>
      </c>
      <c r="G4">
        <v>7.8600000000000003E-2</v>
      </c>
      <c r="H4">
        <f t="shared" ref="H4:H6" si="2">G4/$Q$3</f>
        <v>0.8446163765312702</v>
      </c>
      <c r="I4">
        <f t="shared" ref="I4:I6" si="3">AVERAGE(D4,F4,H4)</f>
        <v>0.82860520094562651</v>
      </c>
      <c r="J4">
        <f t="shared" ref="J4:J6" si="4">_xlfn.STDEV.P(D4,F4,H4)</f>
        <v>4.1031435075335548E-2</v>
      </c>
      <c r="K4">
        <f>I4/I3</f>
        <v>0.98094757508809571</v>
      </c>
      <c r="L4" s="30">
        <f t="shared" ref="L4:L6" si="5">K4*100</f>
        <v>98.094757508809565</v>
      </c>
    </row>
    <row r="5" spans="1:17" x14ac:dyDescent="0.25">
      <c r="A5">
        <v>4</v>
      </c>
      <c r="B5">
        <v>5</v>
      </c>
      <c r="C5">
        <v>6.6500000000000004E-2</v>
      </c>
      <c r="D5">
        <f t="shared" si="0"/>
        <v>0.71459273586933159</v>
      </c>
      <c r="E5">
        <v>5.6932000000000003E-2</v>
      </c>
      <c r="F5">
        <f t="shared" si="1"/>
        <v>0.61177734794756078</v>
      </c>
      <c r="G5">
        <v>6.1194999999999999E-2</v>
      </c>
      <c r="H5">
        <f t="shared" si="2"/>
        <v>0.65758650333118418</v>
      </c>
      <c r="I5">
        <f t="shared" si="3"/>
        <v>0.66131886238269211</v>
      </c>
      <c r="J5">
        <f t="shared" si="4"/>
        <v>4.2057095132237265E-2</v>
      </c>
      <c r="K5">
        <f>66/84</f>
        <v>0.7857142857142857</v>
      </c>
      <c r="L5" s="30">
        <f t="shared" si="5"/>
        <v>78.571428571428569</v>
      </c>
    </row>
    <row r="6" spans="1:17" x14ac:dyDescent="0.25">
      <c r="A6">
        <v>6</v>
      </c>
      <c r="B6">
        <v>7</v>
      </c>
      <c r="C6">
        <v>6.2095999999999998E-2</v>
      </c>
      <c r="D6">
        <f t="shared" si="0"/>
        <v>0.6672684289705566</v>
      </c>
      <c r="E6">
        <v>6.2310999999999998E-2</v>
      </c>
      <c r="F6">
        <f t="shared" si="1"/>
        <v>0.66957876638727698</v>
      </c>
      <c r="G6">
        <v>7.0388999999999993E-2</v>
      </c>
      <c r="H6">
        <f t="shared" si="2"/>
        <v>0.7563829787234041</v>
      </c>
      <c r="I6">
        <f t="shared" si="3"/>
        <v>0.69774339136041252</v>
      </c>
      <c r="J6">
        <f t="shared" si="4"/>
        <v>4.1475175863169143E-2</v>
      </c>
      <c r="K6">
        <f>I6/I3</f>
        <v>0.82602629938555594</v>
      </c>
      <c r="L6" s="30">
        <f t="shared" si="5"/>
        <v>82.602629938555594</v>
      </c>
    </row>
    <row r="8" spans="1:17" x14ac:dyDescent="0.25">
      <c r="M8" t="s">
        <v>118</v>
      </c>
      <c r="N8" t="s">
        <v>119</v>
      </c>
      <c r="O8" t="s">
        <v>120</v>
      </c>
    </row>
    <row r="9" spans="1:17" x14ac:dyDescent="0.25">
      <c r="B9" t="s">
        <v>117</v>
      </c>
      <c r="C9" t="s">
        <v>110</v>
      </c>
      <c r="D9" t="s">
        <v>111</v>
      </c>
      <c r="E9" t="s">
        <v>112</v>
      </c>
      <c r="F9" t="s">
        <v>113</v>
      </c>
      <c r="G9" t="s">
        <v>114</v>
      </c>
      <c r="H9" t="s">
        <v>115</v>
      </c>
      <c r="I9" t="s">
        <v>116</v>
      </c>
      <c r="J9" t="s">
        <v>3</v>
      </c>
      <c r="K9" t="s">
        <v>123</v>
      </c>
    </row>
    <row r="10" spans="1:17" x14ac:dyDescent="0.25">
      <c r="B10">
        <v>0</v>
      </c>
      <c r="C10">
        <v>8.5261000000000003E-2</v>
      </c>
      <c r="D10">
        <f>C10/$Q$3</f>
        <v>0.91619385342789594</v>
      </c>
      <c r="E10">
        <v>8.3696999999999994E-2</v>
      </c>
      <c r="F10">
        <f>E10/$Q$3</f>
        <v>0.89938749194068335</v>
      </c>
      <c r="G10">
        <v>8.3424999999999999E-2</v>
      </c>
      <c r="H10">
        <f>G10/$Q$3</f>
        <v>0.89646464646464641</v>
      </c>
      <c r="I10">
        <f>AVERAGE(D10,F10,H10)</f>
        <v>0.90401533061107531</v>
      </c>
      <c r="J10">
        <f>_xlfn.STDEV.P(D10,F10,H10)</f>
        <v>8.6937935685585267E-3</v>
      </c>
      <c r="K10">
        <f>I10/I10</f>
        <v>1</v>
      </c>
    </row>
    <row r="11" spans="1:17" x14ac:dyDescent="0.25">
      <c r="B11">
        <v>1</v>
      </c>
      <c r="C11">
        <v>8.7774000000000005E-2</v>
      </c>
      <c r="D11">
        <f>C11/$Q$3</f>
        <v>0.94319793681495812</v>
      </c>
      <c r="E11">
        <v>8.6191000000000004E-2</v>
      </c>
      <c r="F11">
        <f>E11/$Q$3</f>
        <v>0.92618740597464</v>
      </c>
      <c r="G11">
        <v>8.1717999999999999E-2</v>
      </c>
      <c r="H11">
        <f>G11/$Q$3</f>
        <v>0.87812164195142917</v>
      </c>
      <c r="I11">
        <f>AVERAGE(D11,F11,H11)</f>
        <v>0.91583566158034246</v>
      </c>
      <c r="J11">
        <f>_xlfn.STDEV.P(D11,F11,H11)</f>
        <v>2.7557213179067949E-2</v>
      </c>
      <c r="K11">
        <f>I11/I10</f>
        <v>1.0130753656149583</v>
      </c>
    </row>
    <row r="12" spans="1:17" x14ac:dyDescent="0.25">
      <c r="B12">
        <v>2</v>
      </c>
      <c r="C12">
        <v>7.9289999999999999E-2</v>
      </c>
      <c r="D12">
        <f t="shared" ref="D12" si="6">C12/$Q$3</f>
        <v>0.8520309477756286</v>
      </c>
      <c r="E12">
        <v>7.7532000000000004E-2</v>
      </c>
      <c r="F12">
        <f t="shared" ref="F12" si="7">E12/$Q$3</f>
        <v>0.83313990973565444</v>
      </c>
      <c r="G12">
        <v>7.3380000000000001E-2</v>
      </c>
      <c r="H12">
        <f t="shared" ref="H12" si="8">G12/$Q$3</f>
        <v>0.78852353320438429</v>
      </c>
      <c r="I12">
        <f t="shared" ref="I12" si="9">AVERAGE(D12,F12,H12)</f>
        <v>0.82456479690522244</v>
      </c>
      <c r="J12">
        <f t="shared" ref="J12" si="10">_xlfn.STDEV.P(D12,F12,H12)</f>
        <v>2.662639475435297E-2</v>
      </c>
      <c r="K12">
        <f>I12/I10</f>
        <v>0.91211373190745815</v>
      </c>
    </row>
    <row r="13" spans="1:17" x14ac:dyDescent="0.25">
      <c r="B13">
        <v>4</v>
      </c>
      <c r="C13">
        <v>7.9910999999999996E-2</v>
      </c>
      <c r="D13">
        <f>C13/$Q$3</f>
        <v>0.85870406189555115</v>
      </c>
      <c r="E13">
        <v>7.8565999999999997E-2</v>
      </c>
      <c r="F13">
        <f>E13/$Q$3</f>
        <v>0.84425102084676551</v>
      </c>
      <c r="G13">
        <v>8.3963999999999997E-2</v>
      </c>
      <c r="H13">
        <f>G13/$Q$3</f>
        <v>0.90225660863958734</v>
      </c>
      <c r="I13">
        <f>AVERAGE(D13,F13,H13)</f>
        <v>0.86840389712730148</v>
      </c>
      <c r="J13">
        <f>_xlfn.STDEV.P(D13,F13,H13)</f>
        <v>2.4653967313463865E-2</v>
      </c>
      <c r="K13">
        <f>I13/I10</f>
        <v>0.9606074894109351</v>
      </c>
    </row>
    <row r="14" spans="1:17" x14ac:dyDescent="0.25">
      <c r="B14">
        <v>5</v>
      </c>
      <c r="C14">
        <v>6.8429000000000004E-2</v>
      </c>
      <c r="D14">
        <f>C14/$Q$3</f>
        <v>0.73532129808725555</v>
      </c>
      <c r="E14">
        <v>7.4779999999999999E-2</v>
      </c>
      <c r="F14">
        <f>E14/$Q$3</f>
        <v>0.80356759080163331</v>
      </c>
      <c r="G14">
        <v>6.2335000000000002E-2</v>
      </c>
      <c r="H14">
        <f>G14/$Q$3</f>
        <v>0.66983666451751556</v>
      </c>
      <c r="I14">
        <f>AVERAGE(D14,F14,H14)</f>
        <v>0.73624185113546814</v>
      </c>
      <c r="J14">
        <f>_xlfn.STDEV.P(D14,F14,H14)</f>
        <v>5.459930234375994E-2</v>
      </c>
      <c r="K14">
        <f>I14/I10</f>
        <v>0.81441301513968845</v>
      </c>
    </row>
    <row r="15" spans="1:17" x14ac:dyDescent="0.25">
      <c r="B15">
        <v>6</v>
      </c>
      <c r="C15">
        <v>7.0870000000000002E-2</v>
      </c>
      <c r="D15">
        <f>C15/$Q$3</f>
        <v>0.76155168708360199</v>
      </c>
      <c r="E15">
        <v>6.6612000000000005E-2</v>
      </c>
      <c r="F15">
        <f>E15/$Q$3</f>
        <v>0.71579626047711153</v>
      </c>
      <c r="G15">
        <v>6.4223000000000002E-2</v>
      </c>
      <c r="H15">
        <f>G15/$Q$3</f>
        <v>0.6901246507629486</v>
      </c>
      <c r="I15">
        <f>AVERAGE(D15,F15,H15)</f>
        <v>0.72249086610788726</v>
      </c>
      <c r="J15">
        <f>_xlfn.STDEV.P(D15,F15,H15)</f>
        <v>2.9541707102577267E-2</v>
      </c>
      <c r="K15">
        <f>I15/I10</f>
        <v>0.79920200647428696</v>
      </c>
    </row>
    <row r="16" spans="1:17" x14ac:dyDescent="0.25">
      <c r="B16">
        <v>7</v>
      </c>
      <c r="C16">
        <v>6.0852000000000003E-2</v>
      </c>
      <c r="D16">
        <f>C16/$Q$3</f>
        <v>0.65390070921985821</v>
      </c>
      <c r="E16">
        <v>5.9625999999999998E-2</v>
      </c>
      <c r="F16">
        <f>E16/$Q$3</f>
        <v>0.64072641306683853</v>
      </c>
      <c r="G16">
        <f>0.054219</f>
        <v>5.4219000000000003E-2</v>
      </c>
      <c r="H16">
        <f>G16/$Q$3</f>
        <v>0.58262411347517729</v>
      </c>
      <c r="I16">
        <f>AVERAGE(D16,F16,H16)</f>
        <v>0.62575041192062464</v>
      </c>
      <c r="J16">
        <f>_xlfn.STDEV.P(D16,F16,H16)</f>
        <v>3.0965558641671727E-2</v>
      </c>
      <c r="K16">
        <f>I16/I10</f>
        <v>0.6921900444958653</v>
      </c>
    </row>
    <row r="26" spans="19:37" x14ac:dyDescent="0.25">
      <c r="AE26" t="s">
        <v>118</v>
      </c>
      <c r="AF26" t="s">
        <v>119</v>
      </c>
      <c r="AG26" t="s">
        <v>120</v>
      </c>
    </row>
    <row r="27" spans="19:37" x14ac:dyDescent="0.25">
      <c r="T27" t="s">
        <v>117</v>
      </c>
      <c r="U27" t="s">
        <v>110</v>
      </c>
      <c r="V27" t="s">
        <v>111</v>
      </c>
      <c r="W27" t="s">
        <v>112</v>
      </c>
      <c r="X27" t="s">
        <v>113</v>
      </c>
      <c r="Y27" t="s">
        <v>114</v>
      </c>
      <c r="Z27" t="s">
        <v>115</v>
      </c>
      <c r="AA27" t="s">
        <v>116</v>
      </c>
      <c r="AB27" t="s">
        <v>3</v>
      </c>
      <c r="AC27" t="s">
        <v>123</v>
      </c>
    </row>
    <row r="28" spans="19:37" x14ac:dyDescent="0.25">
      <c r="S28">
        <v>0</v>
      </c>
      <c r="T28">
        <v>1</v>
      </c>
      <c r="U28">
        <v>7.5910000000000005E-2</v>
      </c>
      <c r="V28">
        <v>0.81571029443369869</v>
      </c>
      <c r="W28">
        <v>7.9973000000000002E-2</v>
      </c>
      <c r="X28">
        <v>0.85937029873200088</v>
      </c>
      <c r="Y28">
        <v>7.9939999999999997E-2</v>
      </c>
      <c r="Z28">
        <v>0.85901568880292278</v>
      </c>
      <c r="AA28">
        <v>0.84469876065620753</v>
      </c>
      <c r="AB28">
        <v>2.0498452258655996E-2</v>
      </c>
      <c r="AC28">
        <v>1</v>
      </c>
      <c r="AD28" s="30">
        <v>100</v>
      </c>
      <c r="AE28" t="s">
        <v>0</v>
      </c>
      <c r="AI28">
        <v>9.3060000000000004E-2</v>
      </c>
      <c r="AK28">
        <f t="shared" ref="AK28" si="11">Q3</f>
        <v>9.3060000000000004E-2</v>
      </c>
    </row>
    <row r="29" spans="19:37" x14ac:dyDescent="0.25">
      <c r="S29">
        <v>2</v>
      </c>
      <c r="T29">
        <v>3</v>
      </c>
      <c r="U29">
        <v>8.0860000000000001E-2</v>
      </c>
      <c r="V29">
        <v>0.86890178379540084</v>
      </c>
      <c r="W29">
        <v>7.1870000000000003E-2</v>
      </c>
      <c r="X29">
        <v>0.77229744251020849</v>
      </c>
      <c r="Y29">
        <v>7.8600000000000003E-2</v>
      </c>
      <c r="Z29">
        <v>0.8446163765312702</v>
      </c>
      <c r="AA29">
        <v>0.82860520094562651</v>
      </c>
      <c r="AB29">
        <v>4.1031435075335548E-2</v>
      </c>
      <c r="AC29">
        <v>0.98094757508809571</v>
      </c>
      <c r="AD29" s="30">
        <v>98.094757508809565</v>
      </c>
    </row>
    <row r="30" spans="19:37" x14ac:dyDescent="0.25">
      <c r="S30">
        <v>4</v>
      </c>
      <c r="T30">
        <v>5</v>
      </c>
      <c r="U30">
        <v>6.6500000000000004E-2</v>
      </c>
      <c r="V30">
        <v>0.71459273586933159</v>
      </c>
      <c r="W30">
        <v>5.6932000000000003E-2</v>
      </c>
      <c r="X30">
        <v>0.61177734794756078</v>
      </c>
      <c r="Y30">
        <v>6.1194999999999999E-2</v>
      </c>
      <c r="Z30">
        <v>0.65758650333118418</v>
      </c>
      <c r="AA30">
        <v>0.66131886238269211</v>
      </c>
      <c r="AB30">
        <v>4.2057095132237265E-2</v>
      </c>
      <c r="AC30">
        <v>0.7857142857142857</v>
      </c>
      <c r="AD30" s="30">
        <v>78.571428571428569</v>
      </c>
    </row>
    <row r="31" spans="19:37" x14ac:dyDescent="0.25">
      <c r="S31">
        <v>6</v>
      </c>
      <c r="T31">
        <v>7</v>
      </c>
      <c r="U31">
        <v>6.2095999999999998E-2</v>
      </c>
      <c r="V31">
        <v>0.6672684289705566</v>
      </c>
      <c r="W31">
        <v>6.2310999999999998E-2</v>
      </c>
      <c r="X31">
        <v>0.66957876638727698</v>
      </c>
      <c r="Y31">
        <v>7.0388999999999993E-2</v>
      </c>
      <c r="Z31">
        <v>0.7563829787234041</v>
      </c>
      <c r="AA31">
        <v>0.69774339136041252</v>
      </c>
      <c r="AB31">
        <v>4.1475175863169143E-2</v>
      </c>
      <c r="AC31">
        <v>0.82602629938555594</v>
      </c>
      <c r="AD31" s="30">
        <v>82.602629938555594</v>
      </c>
    </row>
    <row r="33" spans="4:33" x14ac:dyDescent="0.25">
      <c r="AE33" t="s">
        <v>118</v>
      </c>
      <c r="AF33" t="s">
        <v>119</v>
      </c>
      <c r="AG33" t="s">
        <v>120</v>
      </c>
    </row>
    <row r="34" spans="4:33" x14ac:dyDescent="0.25">
      <c r="T34" t="s">
        <v>117</v>
      </c>
      <c r="U34" t="s">
        <v>110</v>
      </c>
      <c r="V34" t="s">
        <v>111</v>
      </c>
      <c r="W34" t="s">
        <v>112</v>
      </c>
      <c r="X34" t="s">
        <v>113</v>
      </c>
      <c r="Y34" t="s">
        <v>114</v>
      </c>
      <c r="Z34" t="s">
        <v>115</v>
      </c>
      <c r="AA34" t="s">
        <v>116</v>
      </c>
      <c r="AB34" t="s">
        <v>3</v>
      </c>
      <c r="AC34" t="s">
        <v>123</v>
      </c>
    </row>
    <row r="35" spans="4:33" x14ac:dyDescent="0.25">
      <c r="T35">
        <v>0</v>
      </c>
      <c r="U35">
        <v>8.5261000000000003E-2</v>
      </c>
      <c r="V35">
        <v>0.91619385342789594</v>
      </c>
      <c r="W35">
        <v>8.3696999999999994E-2</v>
      </c>
      <c r="X35">
        <v>0.89938749194068335</v>
      </c>
      <c r="Y35">
        <v>8.3424999999999999E-2</v>
      </c>
      <c r="Z35">
        <v>0.89646464646464641</v>
      </c>
      <c r="AA35">
        <f>AVERAGE(V35,X35,Z35)</f>
        <v>0.90401533061107531</v>
      </c>
      <c r="AB35">
        <f>_xlfn.STDEV.P(V35,X35,Z35)</f>
        <v>8.6937935685585267E-3</v>
      </c>
      <c r="AC35">
        <f>AA35/$AA$35</f>
        <v>1</v>
      </c>
      <c r="AD35" s="31">
        <f>AC35*100</f>
        <v>100</v>
      </c>
      <c r="AE35">
        <f>AB35*100</f>
        <v>0.86937935685585266</v>
      </c>
    </row>
    <row r="36" spans="4:33" x14ac:dyDescent="0.25">
      <c r="T36">
        <v>1</v>
      </c>
      <c r="U36">
        <v>8.7774000000000005E-2</v>
      </c>
      <c r="V36">
        <v>0.94319793681495812</v>
      </c>
      <c r="W36">
        <v>8.6191000000000004E-2</v>
      </c>
      <c r="X36">
        <v>0.92618740597464</v>
      </c>
      <c r="Y36">
        <v>8.1717999999999999E-2</v>
      </c>
      <c r="Z36">
        <v>0.87812164195142917</v>
      </c>
      <c r="AA36">
        <f t="shared" ref="AA36:AA41" si="12">AVERAGE(V36,X36,Z36)</f>
        <v>0.91583566158034246</v>
      </c>
      <c r="AB36">
        <f t="shared" ref="AB36:AB41" si="13">_xlfn.STDEV.P(V36,X36,Z36)</f>
        <v>2.7557213179067949E-2</v>
      </c>
      <c r="AC36">
        <f t="shared" ref="AC36:AC41" si="14">AA36/$AA$35</f>
        <v>1.0130753656149583</v>
      </c>
      <c r="AD36" s="31">
        <f t="shared" ref="AD36:AD41" si="15">AC36*100</f>
        <v>101.30753656149582</v>
      </c>
      <c r="AE36">
        <f t="shared" ref="AE36:AE41" si="16">AB36*100</f>
        <v>2.755721317906795</v>
      </c>
    </row>
    <row r="37" spans="4:33" x14ac:dyDescent="0.25">
      <c r="T37">
        <v>2</v>
      </c>
      <c r="U37">
        <v>7.9289999999999999E-2</v>
      </c>
      <c r="V37">
        <v>0.8520309477756286</v>
      </c>
      <c r="W37">
        <f>Y29</f>
        <v>7.8600000000000003E-2</v>
      </c>
      <c r="X37">
        <f>Z29</f>
        <v>0.8446163765312702</v>
      </c>
      <c r="Y37">
        <f>U29</f>
        <v>8.0860000000000001E-2</v>
      </c>
      <c r="Z37">
        <f>V29</f>
        <v>0.86890178379540084</v>
      </c>
      <c r="AA37">
        <f t="shared" si="12"/>
        <v>0.85518303603409984</v>
      </c>
      <c r="AB37">
        <f t="shared" si="13"/>
        <v>1.0161922284950707E-2</v>
      </c>
      <c r="AC37">
        <f t="shared" si="14"/>
        <v>0.94598289108220435</v>
      </c>
      <c r="AD37" s="31">
        <f t="shared" si="15"/>
        <v>94.598289108220428</v>
      </c>
      <c r="AE37">
        <f t="shared" si="16"/>
        <v>1.0161922284950708</v>
      </c>
    </row>
    <row r="38" spans="4:33" x14ac:dyDescent="0.25">
      <c r="T38">
        <v>4</v>
      </c>
      <c r="U38">
        <v>7.9910999999999996E-2</v>
      </c>
      <c r="V38">
        <v>0.85870406189555115</v>
      </c>
      <c r="W38">
        <v>7.8565999999999997E-2</v>
      </c>
      <c r="X38">
        <v>0.84425102084676551</v>
      </c>
      <c r="Y38">
        <v>8.3963999999999997E-2</v>
      </c>
      <c r="Z38">
        <v>0.90225660863958734</v>
      </c>
      <c r="AA38">
        <f t="shared" si="12"/>
        <v>0.86840389712730148</v>
      </c>
      <c r="AB38">
        <f t="shared" si="13"/>
        <v>2.4653967313463865E-2</v>
      </c>
      <c r="AC38">
        <f t="shared" si="14"/>
        <v>0.9606074894109351</v>
      </c>
      <c r="AD38" s="31">
        <f t="shared" si="15"/>
        <v>96.060748941093507</v>
      </c>
      <c r="AE38">
        <f t="shared" si="16"/>
        <v>2.4653967313463863</v>
      </c>
    </row>
    <row r="39" spans="4:33" x14ac:dyDescent="0.25">
      <c r="T39">
        <v>5</v>
      </c>
      <c r="U39">
        <v>6.8429000000000004E-2</v>
      </c>
      <c r="V39">
        <v>0.73532129808725555</v>
      </c>
      <c r="W39">
        <v>7.4779999999999999E-2</v>
      </c>
      <c r="X39">
        <v>0.80356759080163331</v>
      </c>
      <c r="Y39">
        <v>6.2335000000000002E-2</v>
      </c>
      <c r="Z39">
        <v>0.66983666451751556</v>
      </c>
      <c r="AA39">
        <f t="shared" si="12"/>
        <v>0.73624185113546814</v>
      </c>
      <c r="AB39">
        <f t="shared" si="13"/>
        <v>5.459930234375994E-2</v>
      </c>
      <c r="AC39">
        <f t="shared" si="14"/>
        <v>0.81441301513968845</v>
      </c>
      <c r="AD39" s="31">
        <f t="shared" si="15"/>
        <v>81.441301513968838</v>
      </c>
      <c r="AE39">
        <f t="shared" si="16"/>
        <v>5.4599302343759941</v>
      </c>
    </row>
    <row r="40" spans="4:33" x14ac:dyDescent="0.25">
      <c r="T40">
        <v>6</v>
      </c>
      <c r="U40">
        <v>7.0870000000000002E-2</v>
      </c>
      <c r="V40">
        <v>0.76155168708360199</v>
      </c>
      <c r="W40">
        <v>6.6612000000000005E-2</v>
      </c>
      <c r="X40">
        <v>0.71579626047711153</v>
      </c>
      <c r="Y40">
        <f>Y31</f>
        <v>7.0388999999999993E-2</v>
      </c>
      <c r="Z40">
        <f>Z31</f>
        <v>0.7563829787234041</v>
      </c>
      <c r="AA40">
        <f t="shared" si="12"/>
        <v>0.74457697542803913</v>
      </c>
      <c r="AB40">
        <f t="shared" si="13"/>
        <v>2.046014094677924E-2</v>
      </c>
      <c r="AC40">
        <f t="shared" si="14"/>
        <v>0.82363312901423613</v>
      </c>
      <c r="AD40" s="31">
        <f t="shared" si="15"/>
        <v>82.363312901423612</v>
      </c>
      <c r="AE40">
        <f t="shared" si="16"/>
        <v>2.0460140946779242</v>
      </c>
    </row>
    <row r="41" spans="4:33" x14ac:dyDescent="0.25">
      <c r="T41">
        <v>7</v>
      </c>
      <c r="U41">
        <v>6.0852000000000003E-2</v>
      </c>
      <c r="V41">
        <v>0.65390070921985821</v>
      </c>
      <c r="W41">
        <v>5.9625999999999998E-2</v>
      </c>
      <c r="X41">
        <v>0.64072641306683853</v>
      </c>
      <c r="Y41">
        <v>5.4219000000000003E-2</v>
      </c>
      <c r="Z41">
        <v>0.58262411347517729</v>
      </c>
      <c r="AA41">
        <f t="shared" si="12"/>
        <v>0.62575041192062464</v>
      </c>
      <c r="AB41">
        <f t="shared" si="13"/>
        <v>3.0965558641671727E-2</v>
      </c>
      <c r="AC41">
        <f t="shared" si="14"/>
        <v>0.6921900444958653</v>
      </c>
      <c r="AD41" s="31">
        <f t="shared" si="15"/>
        <v>69.219004449586535</v>
      </c>
      <c r="AE41">
        <f t="shared" si="16"/>
        <v>3.0965558641671729</v>
      </c>
    </row>
    <row r="46" spans="4:33" x14ac:dyDescent="0.25">
      <c r="E46" t="s">
        <v>141</v>
      </c>
    </row>
    <row r="47" spans="4:33" x14ac:dyDescent="0.25">
      <c r="E47" t="s">
        <v>142</v>
      </c>
      <c r="F47" t="s">
        <v>143</v>
      </c>
    </row>
    <row r="48" spans="4:33" x14ac:dyDescent="0.25">
      <c r="D48">
        <v>1</v>
      </c>
      <c r="E48">
        <v>99.713999999999999</v>
      </c>
      <c r="F48">
        <v>9.4260000000000002</v>
      </c>
      <c r="G48">
        <f>-(F48-E48)</f>
        <v>90.287999999999997</v>
      </c>
      <c r="H48">
        <f>G48/E48</f>
        <v>0.9054696431794933</v>
      </c>
      <c r="I48">
        <f>1-H48</f>
        <v>9.45303568205067E-2</v>
      </c>
    </row>
    <row r="49" spans="4:10" x14ac:dyDescent="0.25">
      <c r="D49">
        <v>2</v>
      </c>
      <c r="E49">
        <v>94.183000000000007</v>
      </c>
      <c r="F49">
        <v>7.8159999999999998</v>
      </c>
      <c r="G49">
        <f t="shared" ref="G49:G50" si="17">-(F49-E49)</f>
        <v>86.367000000000004</v>
      </c>
      <c r="H49">
        <f t="shared" ref="H49:H50" si="18">G49/E49</f>
        <v>0.91701262435896069</v>
      </c>
      <c r="I49">
        <f t="shared" ref="I49:I50" si="19">1-H49</f>
        <v>8.2987375641039307E-2</v>
      </c>
    </row>
    <row r="50" spans="4:10" x14ac:dyDescent="0.25">
      <c r="D50">
        <v>3</v>
      </c>
      <c r="E50">
        <v>82.944000000000003</v>
      </c>
      <c r="F50">
        <v>5.5179999999999998</v>
      </c>
      <c r="G50">
        <f t="shared" si="17"/>
        <v>77.426000000000002</v>
      </c>
      <c r="H50">
        <f t="shared" si="18"/>
        <v>0.93347318672839508</v>
      </c>
      <c r="I50">
        <f t="shared" si="19"/>
        <v>6.6526813271604923E-2</v>
      </c>
    </row>
    <row r="51" spans="4:10" x14ac:dyDescent="0.25">
      <c r="G51">
        <f>H51*100</f>
        <v>91.865181808894974</v>
      </c>
      <c r="H51">
        <f>AVERAGE(H48:H50)</f>
        <v>0.91865181808894969</v>
      </c>
      <c r="I51">
        <f>AVERAGE(I48:I50)</f>
        <v>8.134818191105031E-2</v>
      </c>
      <c r="J51">
        <f>I51*100</f>
        <v>8.1348181911050315</v>
      </c>
    </row>
    <row r="52" spans="4:10" x14ac:dyDescent="0.25">
      <c r="G52">
        <f>H52*100</f>
        <v>1.1491006044936072</v>
      </c>
      <c r="H52">
        <f>_xlfn.STDEV.P(H48:H50)</f>
        <v>1.1491006044936072E-2</v>
      </c>
      <c r="I52">
        <f>_xlfn.STDEV.P(I48:I50)</f>
        <v>1.1491006044936138E-2</v>
      </c>
      <c r="J52">
        <f>I52*100</f>
        <v>1.1491006044936138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C7E97-C57B-47A2-8242-3B3F7E86FA10}">
  <dimension ref="A1:AP67"/>
  <sheetViews>
    <sheetView topLeftCell="A16" zoomScale="70" zoomScaleNormal="70" workbookViewId="0">
      <selection activeCell="P36" sqref="P36"/>
    </sheetView>
  </sheetViews>
  <sheetFormatPr defaultRowHeight="15" x14ac:dyDescent="0.25"/>
  <cols>
    <col min="7" max="7" width="22.42578125" customWidth="1"/>
    <col min="15" max="15" width="12.140625" bestFit="1" customWidth="1"/>
    <col min="27" max="27" width="13" bestFit="1" customWidth="1"/>
  </cols>
  <sheetData>
    <row r="1" spans="1:42" x14ac:dyDescent="0.25">
      <c r="A1" t="s">
        <v>177</v>
      </c>
      <c r="Q1">
        <v>9.3060000000000004E-2</v>
      </c>
      <c r="S1" t="s">
        <v>177</v>
      </c>
      <c r="T1" t="s">
        <v>173</v>
      </c>
    </row>
    <row r="3" spans="1:42" x14ac:dyDescent="0.25">
      <c r="A3" t="s">
        <v>163</v>
      </c>
      <c r="B3" t="s">
        <v>110</v>
      </c>
      <c r="C3" t="s">
        <v>112</v>
      </c>
      <c r="D3" t="s">
        <v>114</v>
      </c>
      <c r="E3" t="s">
        <v>171</v>
      </c>
      <c r="F3" t="s">
        <v>170</v>
      </c>
      <c r="G3" t="s">
        <v>169</v>
      </c>
      <c r="H3" t="s">
        <v>113</v>
      </c>
      <c r="I3" t="s">
        <v>115</v>
      </c>
      <c r="J3" t="s">
        <v>168</v>
      </c>
      <c r="K3" t="s">
        <v>167</v>
      </c>
      <c r="L3" t="s">
        <v>166</v>
      </c>
      <c r="M3" t="s">
        <v>165</v>
      </c>
      <c r="N3" t="s">
        <v>164</v>
      </c>
      <c r="O3" t="s">
        <v>107</v>
      </c>
      <c r="S3" t="e">
        <f>[1]czujnik!B10</f>
        <v>#REF!</v>
      </c>
      <c r="T3" t="e">
        <f>[1]czujnik!C10</f>
        <v>#REF!</v>
      </c>
      <c r="U3" t="e">
        <f>[1]czujnik!D10</f>
        <v>#REF!</v>
      </c>
      <c r="V3" t="e">
        <f>[1]czujnik!E10</f>
        <v>#REF!</v>
      </c>
      <c r="W3" t="e">
        <f>[1]czujnik!F10</f>
        <v>#REF!</v>
      </c>
      <c r="X3" t="e">
        <f>[1]czujnik!G10</f>
        <v>#REF!</v>
      </c>
      <c r="Y3" t="e">
        <f>[1]czujnik!H10</f>
        <v>#REF!</v>
      </c>
      <c r="Z3" t="e">
        <f>[1]czujnik!I10</f>
        <v>#REF!</v>
      </c>
      <c r="AA3" t="e">
        <f>[1]czujnik!J10</f>
        <v>#REF!</v>
      </c>
      <c r="AB3" t="e">
        <f>[1]czujnik!K10</f>
        <v>#REF!</v>
      </c>
      <c r="AM3" t="s">
        <v>176</v>
      </c>
    </row>
    <row r="4" spans="1:42" x14ac:dyDescent="0.25">
      <c r="A4">
        <v>0.05</v>
      </c>
    </row>
    <row r="5" spans="1:42" x14ac:dyDescent="0.25">
      <c r="A5">
        <v>0.1</v>
      </c>
      <c r="B5">
        <f>0.25</f>
        <v>0.25</v>
      </c>
      <c r="C5">
        <f>0.237</f>
        <v>0.23699999999999999</v>
      </c>
      <c r="D5">
        <f>0.234</f>
        <v>0.23400000000000001</v>
      </c>
      <c r="G5">
        <f t="shared" ref="G5:G14" si="0">B5/1000/$Q$1</f>
        <v>2.6864388566516227E-3</v>
      </c>
      <c r="H5">
        <f t="shared" ref="H5:H14" si="1">C5/1000/$Q$1</f>
        <v>2.5467440361057378E-3</v>
      </c>
      <c r="I5">
        <f t="shared" ref="I5:I14" si="2">D5/1000/$Q$1</f>
        <v>2.5145067698259188E-3</v>
      </c>
      <c r="J5">
        <f t="shared" ref="J5:J14" si="3">E5/1000/$Q$1</f>
        <v>0</v>
      </c>
      <c r="K5">
        <f t="shared" ref="K5:K14" si="4">F5/1000/$Q$1</f>
        <v>0</v>
      </c>
      <c r="L5">
        <f>AVERAGE(B5:D5)</f>
        <v>0.24033333333333332</v>
      </c>
      <c r="M5">
        <f>_xlfn.STDEV.P(B5:D5)</f>
        <v>6.94422221866655E-3</v>
      </c>
      <c r="N5">
        <f>AVERAGE(G5:I5)</f>
        <v>2.5825632208610933E-3</v>
      </c>
      <c r="O5">
        <f>_xlfn.STDEV.P(G5:I5)</f>
        <v>7.4620913589797537E-5</v>
      </c>
      <c r="S5" t="e">
        <f>[1]czujnik!B13</f>
        <v>#REF!</v>
      </c>
      <c r="T5" t="e">
        <f>[1]czujnik!C13</f>
        <v>#REF!</v>
      </c>
      <c r="U5" t="e">
        <f>[1]czujnik!D13</f>
        <v>#REF!</v>
      </c>
      <c r="V5" t="e">
        <f>[1]czujnik!E13</f>
        <v>#REF!</v>
      </c>
      <c r="W5" t="e">
        <f>[1]czujnik!F13</f>
        <v>#REF!</v>
      </c>
      <c r="X5" t="e">
        <f>[1]czujnik!G13</f>
        <v>#REF!</v>
      </c>
      <c r="Y5" t="e">
        <f>[1]czujnik!H13</f>
        <v>#REF!</v>
      </c>
      <c r="Z5" t="e">
        <f>[1]czujnik!I13</f>
        <v>#REF!</v>
      </c>
      <c r="AA5" t="e">
        <f>[1]czujnik!J13</f>
        <v>#REF!</v>
      </c>
      <c r="AB5" t="e">
        <f>[1]czujnik!K13</f>
        <v>#REF!</v>
      </c>
    </row>
    <row r="6" spans="1:42" x14ac:dyDescent="0.25">
      <c r="A6">
        <v>0.2</v>
      </c>
      <c r="B6">
        <v>0.32800000000000001</v>
      </c>
      <c r="C6">
        <v>0.40100000000000002</v>
      </c>
      <c r="D6">
        <v>0.37</v>
      </c>
      <c r="E6">
        <f>0.465-0.109</f>
        <v>0.35600000000000004</v>
      </c>
      <c r="F6">
        <v>0.35899999999999999</v>
      </c>
      <c r="G6">
        <f t="shared" si="0"/>
        <v>3.5246077799269289E-3</v>
      </c>
      <c r="H6">
        <f t="shared" si="1"/>
        <v>4.309047926069203E-3</v>
      </c>
      <c r="I6">
        <f t="shared" si="2"/>
        <v>3.9759295078444015E-3</v>
      </c>
      <c r="J6">
        <f t="shared" si="3"/>
        <v>3.825488931871911E-3</v>
      </c>
      <c r="K6">
        <f t="shared" si="4"/>
        <v>3.85772619815173E-3</v>
      </c>
      <c r="L6">
        <f>AVERAGE(C6:F6)</f>
        <v>0.3715</v>
      </c>
      <c r="M6">
        <f>_xlfn.STDEV.P(C6:F6)</f>
        <v>1.7811513130556879E-2</v>
      </c>
      <c r="N6">
        <f>AVERAGE(H6:K6)</f>
        <v>3.9920481409843117E-3</v>
      </c>
      <c r="O6">
        <f>_xlfn.STDEV.P(H6:K6)</f>
        <v>1.9139816387875438E-4</v>
      </c>
      <c r="T6" t="e">
        <f>[1]czujnik!C14</f>
        <v>#REF!</v>
      </c>
      <c r="U6" t="e">
        <f>[1]czujnik!D14</f>
        <v>#REF!</v>
      </c>
      <c r="V6" t="e">
        <f>[1]czujnik!E14</f>
        <v>#REF!</v>
      </c>
      <c r="W6" t="e">
        <f>[1]czujnik!F14</f>
        <v>#REF!</v>
      </c>
      <c r="X6" t="e">
        <f>[1]czujnik!G14</f>
        <v>#REF!</v>
      </c>
      <c r="Y6" t="e">
        <f>[1]czujnik!H14</f>
        <v>#REF!</v>
      </c>
      <c r="AA6" t="e">
        <f>[1]czujnik!J14</f>
        <v>#REF!</v>
      </c>
      <c r="AB6" t="e">
        <f>[1]czujnik!K14</f>
        <v>#REF!</v>
      </c>
      <c r="AM6" t="s">
        <v>144</v>
      </c>
      <c r="AN6">
        <v>5.9000000000000003E-4</v>
      </c>
      <c r="AP6">
        <f>AN6/0.0138</f>
        <v>4.2753623188405802E-2</v>
      </c>
    </row>
    <row r="7" spans="1:42" x14ac:dyDescent="0.25">
      <c r="A7">
        <v>0.5</v>
      </c>
      <c r="B7">
        <v>0.753</v>
      </c>
      <c r="C7">
        <v>0.995</v>
      </c>
      <c r="D7">
        <v>0.98899999999999999</v>
      </c>
      <c r="E7">
        <f>1-0.109</f>
        <v>0.89100000000000001</v>
      </c>
      <c r="F7">
        <v>0.89100000000000001</v>
      </c>
      <c r="G7">
        <f t="shared" si="0"/>
        <v>8.091553836234687E-3</v>
      </c>
      <c r="H7">
        <f t="shared" si="1"/>
        <v>1.0692026649473458E-2</v>
      </c>
      <c r="I7">
        <f t="shared" si="2"/>
        <v>1.0627552116913819E-2</v>
      </c>
      <c r="J7">
        <f t="shared" si="3"/>
        <v>9.5744680851063829E-3</v>
      </c>
      <c r="K7">
        <f t="shared" si="4"/>
        <v>9.5744680851063829E-3</v>
      </c>
      <c r="L7">
        <f>AVERAGE(D7:F7)</f>
        <v>0.92366666666666664</v>
      </c>
      <c r="M7">
        <f>_xlfn.STDEV.P(D7:F7)</f>
        <v>4.6197643037521094E-2</v>
      </c>
      <c r="N7">
        <f>AVERAGE(I7:K7)</f>
        <v>9.9254960957088616E-3</v>
      </c>
      <c r="O7">
        <f>_xlfn.STDEV.P(I7:K7)</f>
        <v>4.9642857336687203E-4</v>
      </c>
      <c r="S7" t="e">
        <f>[1]czujnik!B15</f>
        <v>#REF!</v>
      </c>
      <c r="T7" t="e">
        <f>[1]czujnik!C15</f>
        <v>#REF!</v>
      </c>
      <c r="U7" t="e">
        <f>[1]czujnik!D15</f>
        <v>#REF!</v>
      </c>
      <c r="V7" t="e">
        <f>[1]czujnik!E15</f>
        <v>#REF!</v>
      </c>
      <c r="W7" t="e">
        <f>[1]czujnik!F15</f>
        <v>#REF!</v>
      </c>
      <c r="X7" t="e">
        <f>[1]czujnik!G15</f>
        <v>#REF!</v>
      </c>
      <c r="Y7" t="e">
        <f>[1]czujnik!H15</f>
        <v>#REF!</v>
      </c>
      <c r="Z7" t="e">
        <f>[1]czujnik!I15</f>
        <v>#REF!</v>
      </c>
      <c r="AA7" t="e">
        <f>[1]czujnik!J15</f>
        <v>#REF!</v>
      </c>
      <c r="AB7" t="e">
        <f>[1]czujnik!K15</f>
        <v>#REF!</v>
      </c>
    </row>
    <row r="8" spans="1:42" x14ac:dyDescent="0.25">
      <c r="A8">
        <v>1</v>
      </c>
      <c r="B8">
        <v>1.133</v>
      </c>
      <c r="C8">
        <v>1.552</v>
      </c>
      <c r="D8">
        <v>1.6639999999999999</v>
      </c>
      <c r="E8">
        <f>1.519-0.106</f>
        <v>1.4129999999999998</v>
      </c>
      <c r="F8">
        <v>1.123</v>
      </c>
      <c r="G8">
        <f t="shared" si="0"/>
        <v>1.2174940898345154E-2</v>
      </c>
      <c r="H8">
        <f t="shared" si="1"/>
        <v>1.6677412422093273E-2</v>
      </c>
      <c r="I8">
        <f t="shared" si="2"/>
        <v>1.7880937029873197E-2</v>
      </c>
      <c r="J8">
        <f t="shared" si="3"/>
        <v>1.5183752417794967E-2</v>
      </c>
      <c r="K8">
        <f t="shared" si="4"/>
        <v>1.2067483344079089E-2</v>
      </c>
      <c r="L8">
        <f>AVERAGE(C8:E8)</f>
        <v>1.5429999999999999</v>
      </c>
      <c r="M8">
        <f>_xlfn.STDEV.P(C8:E8)</f>
        <v>0.1026677489120448</v>
      </c>
      <c r="N8">
        <f>AVERAGE(H8:J8)</f>
        <v>1.658070062325381E-2</v>
      </c>
      <c r="O8">
        <f>_xlfn.STDEV.P(H8:J8)</f>
        <v>1.1032425200090781E-3</v>
      </c>
      <c r="S8" t="e">
        <f>[1]czujnik!B16</f>
        <v>#REF!</v>
      </c>
      <c r="T8" t="e">
        <f>[1]czujnik!C16</f>
        <v>#REF!</v>
      </c>
      <c r="U8" t="e">
        <f>[1]czujnik!D16</f>
        <v>#REF!</v>
      </c>
      <c r="V8" t="e">
        <f>[1]czujnik!E16</f>
        <v>#REF!</v>
      </c>
      <c r="W8" t="e">
        <f>[1]czujnik!F16</f>
        <v>#REF!</v>
      </c>
      <c r="X8" t="e">
        <f>[1]czujnik!G16</f>
        <v>#REF!</v>
      </c>
      <c r="Y8" t="e">
        <f>[1]czujnik!H16</f>
        <v>#REF!</v>
      </c>
      <c r="Z8" t="e">
        <f>[1]czujnik!I16</f>
        <v>#REF!</v>
      </c>
      <c r="AA8" t="e">
        <f>[1]czujnik!J16</f>
        <v>#REF!</v>
      </c>
      <c r="AB8" t="e">
        <f>[1]czujnik!K16</f>
        <v>#REF!</v>
      </c>
      <c r="AM8" t="s">
        <v>150</v>
      </c>
      <c r="AN8">
        <v>6.6E-4</v>
      </c>
      <c r="AP8">
        <f>AN8/0.0138</f>
        <v>4.7826086956521741E-2</v>
      </c>
    </row>
    <row r="9" spans="1:42" x14ac:dyDescent="0.25">
      <c r="A9">
        <v>2</v>
      </c>
      <c r="B9">
        <v>2.6949999999999998</v>
      </c>
      <c r="C9">
        <v>3.5550000000000002</v>
      </c>
      <c r="E9">
        <f>3.359-0.106</f>
        <v>3.2530000000000001</v>
      </c>
      <c r="F9">
        <v>3.3010000000000002</v>
      </c>
      <c r="G9">
        <f t="shared" si="0"/>
        <v>2.8959810874704488E-2</v>
      </c>
      <c r="H9">
        <f t="shared" si="1"/>
        <v>3.8201160541586072E-2</v>
      </c>
      <c r="I9">
        <f t="shared" si="2"/>
        <v>0</v>
      </c>
      <c r="J9">
        <f t="shared" si="3"/>
        <v>3.4955942402750913E-2</v>
      </c>
      <c r="K9">
        <f t="shared" si="4"/>
        <v>3.5471738663228024E-2</v>
      </c>
      <c r="L9">
        <f>AVERAGE(C9,E9,F9)</f>
        <v>3.3696666666666668</v>
      </c>
      <c r="M9">
        <f>_xlfn.STDEV.P(E9:F9,C9)</f>
        <v>0.13250744213900675</v>
      </c>
      <c r="N9">
        <f>AVERAGE(H9,J9:K9)</f>
        <v>3.6209613869188334E-2</v>
      </c>
      <c r="O9">
        <f>_xlfn.STDEV.P(H9,J9:K9)</f>
        <v>1.4238925654309772E-3</v>
      </c>
      <c r="S9" t="e">
        <f>[1]czujnik!B17</f>
        <v>#REF!</v>
      </c>
      <c r="T9" t="e">
        <f>[1]czujnik!C17</f>
        <v>#REF!</v>
      </c>
      <c r="U9" t="e">
        <f>[1]czujnik!D17</f>
        <v>#REF!</v>
      </c>
      <c r="V9" t="e">
        <f>[1]czujnik!E17</f>
        <v>#REF!</v>
      </c>
      <c r="W9" t="e">
        <f>[1]czujnik!F17</f>
        <v>#REF!</v>
      </c>
      <c r="X9" t="e">
        <f>[1]czujnik!G17</f>
        <v>#REF!</v>
      </c>
      <c r="Y9" t="e">
        <f>[1]czujnik!H17</f>
        <v>#REF!</v>
      </c>
      <c r="Z9" t="e">
        <f>[1]czujnik!I17</f>
        <v>#REF!</v>
      </c>
      <c r="AA9" t="e">
        <f>[1]czujnik!J17</f>
        <v>#REF!</v>
      </c>
      <c r="AB9" t="e">
        <f>[1]czujnik!K17</f>
        <v>#REF!</v>
      </c>
    </row>
    <row r="10" spans="1:42" x14ac:dyDescent="0.25">
      <c r="A10">
        <v>5</v>
      </c>
      <c r="B10">
        <v>6.0880000000000001</v>
      </c>
      <c r="C10">
        <v>8.1620000000000008</v>
      </c>
      <c r="E10">
        <f>7.535-0.106</f>
        <v>7.4290000000000003</v>
      </c>
      <c r="F10">
        <v>7.63</v>
      </c>
      <c r="G10">
        <f t="shared" si="0"/>
        <v>6.5420159037180306E-2</v>
      </c>
      <c r="H10">
        <f t="shared" si="1"/>
        <v>8.7706855791962177E-2</v>
      </c>
      <c r="I10">
        <f t="shared" si="2"/>
        <v>0</v>
      </c>
      <c r="J10">
        <f t="shared" si="3"/>
        <v>7.9830217064259607E-2</v>
      </c>
      <c r="K10">
        <f t="shared" si="4"/>
        <v>8.1990113905007517E-2</v>
      </c>
      <c r="L10">
        <f>AVERAGE(C10,E10:F10)</f>
        <v>7.7403333333333331</v>
      </c>
      <c r="M10">
        <f>_xlfn.STDEV.P(C10,E10:F10)</f>
        <v>0.30924891089361828</v>
      </c>
      <c r="N10">
        <f>AVERAGE(G10,J10:K10)</f>
        <v>7.5746830002149143E-2</v>
      </c>
      <c r="O10">
        <f>_xlfn.STDEV.P(H10,J10:K10)</f>
        <v>3.3231131624072477E-3</v>
      </c>
      <c r="S10" t="e">
        <f>[1]czujnik!B18</f>
        <v>#REF!</v>
      </c>
      <c r="T10" t="e">
        <f>[1]czujnik!C18</f>
        <v>#REF!</v>
      </c>
      <c r="U10" t="e">
        <f>[1]czujnik!D18</f>
        <v>#REF!</v>
      </c>
      <c r="V10" t="e">
        <f>[1]czujnik!E18</f>
        <v>#REF!</v>
      </c>
      <c r="W10" t="e">
        <f>[1]czujnik!F18</f>
        <v>#REF!</v>
      </c>
      <c r="X10" t="e">
        <f>[1]czujnik!G18</f>
        <v>#REF!</v>
      </c>
      <c r="Y10" t="e">
        <f>[1]czujnik!H18</f>
        <v>#REF!</v>
      </c>
      <c r="Z10" t="e">
        <f>[1]czujnik!I18</f>
        <v>#REF!</v>
      </c>
      <c r="AA10" t="e">
        <f>[1]czujnik!J18</f>
        <v>#REF!</v>
      </c>
      <c r="AB10" t="e">
        <f>[1]czujnik!K18</f>
        <v>#REF!</v>
      </c>
    </row>
    <row r="11" spans="1:42" x14ac:dyDescent="0.25">
      <c r="A11">
        <v>10</v>
      </c>
      <c r="B11">
        <v>10.513</v>
      </c>
      <c r="C11">
        <v>14.682</v>
      </c>
      <c r="E11">
        <f>13.31-0.106</f>
        <v>13.204000000000001</v>
      </c>
      <c r="F11">
        <v>13.968</v>
      </c>
      <c r="G11">
        <f t="shared" si="0"/>
        <v>0.11297012679991403</v>
      </c>
      <c r="H11">
        <f t="shared" si="1"/>
        <v>0.1577691811734365</v>
      </c>
      <c r="I11">
        <f t="shared" si="2"/>
        <v>0</v>
      </c>
      <c r="J11">
        <f t="shared" si="3"/>
        <v>0.1418869546529121</v>
      </c>
      <c r="K11">
        <f t="shared" si="4"/>
        <v>0.15009671179883946</v>
      </c>
      <c r="L11">
        <f>AVERAGE(C12,E12:F12)</f>
        <v>19.320666666666668</v>
      </c>
      <c r="N11">
        <f>AVERAGE(H11,J11:K11)</f>
        <v>0.14991761587506269</v>
      </c>
      <c r="S11" t="e">
        <f>[1]czujnik!B19</f>
        <v>#REF!</v>
      </c>
      <c r="T11" t="e">
        <f>[1]czujnik!C19</f>
        <v>#REF!</v>
      </c>
      <c r="U11" t="e">
        <f>[1]czujnik!D19</f>
        <v>#REF!</v>
      </c>
      <c r="V11" t="e">
        <f>[1]czujnik!E19</f>
        <v>#REF!</v>
      </c>
      <c r="W11" t="e">
        <f>[1]czujnik!F19</f>
        <v>#REF!</v>
      </c>
      <c r="X11" t="e">
        <f>[1]czujnik!G19</f>
        <v>#REF!</v>
      </c>
      <c r="Y11" t="e">
        <f>[1]czujnik!H19</f>
        <v>#REF!</v>
      </c>
      <c r="Z11" t="e">
        <f>[1]czujnik!I19</f>
        <v>#REF!</v>
      </c>
      <c r="AA11" t="e">
        <f>[1]czujnik!J19</f>
        <v>#REF!</v>
      </c>
      <c r="AB11" t="e">
        <f>[1]czujnik!K19</f>
        <v>#REF!</v>
      </c>
    </row>
    <row r="12" spans="1:42" x14ac:dyDescent="0.25">
      <c r="A12">
        <v>15</v>
      </c>
      <c r="B12">
        <v>14.654</v>
      </c>
      <c r="C12">
        <v>19.922000000000001</v>
      </c>
      <c r="E12">
        <f>17.69-0.106</f>
        <v>17.584</v>
      </c>
      <c r="F12">
        <v>20.456</v>
      </c>
      <c r="G12">
        <f t="shared" si="0"/>
        <v>0.15746830002149151</v>
      </c>
      <c r="H12">
        <f t="shared" si="1"/>
        <v>0.21407693960885452</v>
      </c>
      <c r="I12">
        <f t="shared" si="2"/>
        <v>0</v>
      </c>
      <c r="J12">
        <f t="shared" si="3"/>
        <v>0.1889533634214485</v>
      </c>
      <c r="K12">
        <f t="shared" si="4"/>
        <v>0.21981517300666234</v>
      </c>
      <c r="N12">
        <f>AVERAGE(H12,J12:K12)</f>
        <v>0.20761515867898847</v>
      </c>
      <c r="S12" t="e">
        <f>[1]czujnik!B20</f>
        <v>#REF!</v>
      </c>
      <c r="T12" t="e">
        <f>[1]czujnik!C20</f>
        <v>#REF!</v>
      </c>
      <c r="U12" t="e">
        <f>[1]czujnik!D20</f>
        <v>#REF!</v>
      </c>
      <c r="V12" t="e">
        <f>[1]czujnik!E20</f>
        <v>#REF!</v>
      </c>
      <c r="W12" t="e">
        <f>[1]czujnik!F20</f>
        <v>#REF!</v>
      </c>
      <c r="X12" t="e">
        <f>[1]czujnik!G20</f>
        <v>#REF!</v>
      </c>
      <c r="Y12" t="e">
        <f>[1]czujnik!H20</f>
        <v>#REF!</v>
      </c>
      <c r="Z12" t="e">
        <f>[1]czujnik!I20</f>
        <v>#REF!</v>
      </c>
      <c r="AA12" t="e">
        <f>[1]czujnik!J20</f>
        <v>#REF!</v>
      </c>
      <c r="AB12" t="e">
        <f>[1]czujnik!K20</f>
        <v>#REF!</v>
      </c>
    </row>
    <row r="13" spans="1:42" x14ac:dyDescent="0.25">
      <c r="A13">
        <v>20</v>
      </c>
      <c r="B13">
        <v>17.148</v>
      </c>
      <c r="C13">
        <v>19.109000000000002</v>
      </c>
      <c r="E13">
        <f>21.314-0.106</f>
        <v>21.207999999999998</v>
      </c>
      <c r="F13">
        <v>25.081</v>
      </c>
      <c r="G13">
        <f t="shared" si="0"/>
        <v>0.1842682140554481</v>
      </c>
      <c r="H13">
        <f t="shared" si="1"/>
        <v>0.20534064044702344</v>
      </c>
      <c r="I13">
        <f t="shared" si="2"/>
        <v>0</v>
      </c>
      <c r="J13">
        <f t="shared" si="3"/>
        <v>0.22789598108747042</v>
      </c>
      <c r="K13">
        <f t="shared" si="4"/>
        <v>0.26951429185471737</v>
      </c>
      <c r="N13">
        <f>AVERAGE(H13,J13,K13)</f>
        <v>0.23425030446307038</v>
      </c>
      <c r="S13" t="e">
        <f>[1]czujnik!B21</f>
        <v>#REF!</v>
      </c>
      <c r="T13" t="e">
        <f>[1]czujnik!C21</f>
        <v>#REF!</v>
      </c>
      <c r="U13" t="e">
        <f>[1]czujnik!D21</f>
        <v>#REF!</v>
      </c>
      <c r="V13" t="e">
        <f>[1]czujnik!E21</f>
        <v>#REF!</v>
      </c>
      <c r="W13" t="e">
        <f>[1]czujnik!F21</f>
        <v>#REF!</v>
      </c>
      <c r="X13" t="e">
        <f>[1]czujnik!G21</f>
        <v>#REF!</v>
      </c>
      <c r="Y13" t="e">
        <f>[1]czujnik!H21</f>
        <v>#REF!</v>
      </c>
      <c r="Z13" t="e">
        <f>[1]czujnik!I21</f>
        <v>#REF!</v>
      </c>
      <c r="AA13" t="e">
        <f>[1]czujnik!J21</f>
        <v>#REF!</v>
      </c>
      <c r="AB13" t="e">
        <f>[1]czujnik!K21</f>
        <v>#REF!</v>
      </c>
    </row>
    <row r="14" spans="1:42" x14ac:dyDescent="0.25">
      <c r="A14">
        <v>30</v>
      </c>
      <c r="B14">
        <v>21.324999999999999</v>
      </c>
      <c r="E14">
        <f>26.154-0.106</f>
        <v>26.047999999999998</v>
      </c>
      <c r="F14">
        <v>31.122</v>
      </c>
      <c r="G14">
        <f t="shared" si="0"/>
        <v>0.22915323447238339</v>
      </c>
      <c r="H14">
        <f t="shared" si="1"/>
        <v>0</v>
      </c>
      <c r="I14">
        <f t="shared" si="2"/>
        <v>0</v>
      </c>
      <c r="J14">
        <f t="shared" si="3"/>
        <v>0.27990543735224582</v>
      </c>
      <c r="K14">
        <f t="shared" si="4"/>
        <v>0.33442940038684721</v>
      </c>
      <c r="N14">
        <f>AVERAGE(G14,J14:K14)</f>
        <v>0.28116269073715883</v>
      </c>
      <c r="S14">
        <v>30</v>
      </c>
      <c r="T14" t="e">
        <f>[1]czujnik!C22</f>
        <v>#REF!</v>
      </c>
      <c r="U14" t="e">
        <f>[1]czujnik!D22</f>
        <v>#REF!</v>
      </c>
      <c r="V14" t="e">
        <f>[1]czujnik!E22</f>
        <v>#REF!</v>
      </c>
      <c r="W14" t="e">
        <f>[1]czujnik!F22</f>
        <v>#REF!</v>
      </c>
      <c r="X14" t="e">
        <f>[1]czujnik!G22</f>
        <v>#REF!</v>
      </c>
      <c r="Y14" t="e">
        <f>[1]czujnik!H22</f>
        <v>#REF!</v>
      </c>
      <c r="Z14" t="e">
        <f>[1]czujnik!I22</f>
        <v>#REF!</v>
      </c>
      <c r="AA14" t="e">
        <f>[1]czujnik!J22</f>
        <v>#REF!</v>
      </c>
      <c r="AB14" t="e">
        <f>[1]czujnik!K22</f>
        <v>#REF!</v>
      </c>
    </row>
    <row r="20" spans="1:27" x14ac:dyDescent="0.25">
      <c r="A20" t="s">
        <v>174</v>
      </c>
      <c r="B20" t="s">
        <v>175</v>
      </c>
      <c r="S20" t="s">
        <v>174</v>
      </c>
      <c r="T20" t="s">
        <v>173</v>
      </c>
    </row>
    <row r="22" spans="1:27" x14ac:dyDescent="0.25">
      <c r="A22" t="s">
        <v>163</v>
      </c>
      <c r="B22" t="s">
        <v>172</v>
      </c>
      <c r="C22" t="s">
        <v>112</v>
      </c>
      <c r="D22" t="s">
        <v>114</v>
      </c>
      <c r="E22" t="s">
        <v>171</v>
      </c>
      <c r="F22" t="s">
        <v>170</v>
      </c>
      <c r="G22" t="s">
        <v>169</v>
      </c>
      <c r="H22" t="s">
        <v>113</v>
      </c>
      <c r="I22" t="s">
        <v>115</v>
      </c>
      <c r="J22" t="s">
        <v>168</v>
      </c>
      <c r="K22" t="s">
        <v>167</v>
      </c>
      <c r="L22" t="s">
        <v>166</v>
      </c>
      <c r="M22" t="s">
        <v>165</v>
      </c>
      <c r="N22" t="s">
        <v>164</v>
      </c>
      <c r="O22" t="s">
        <v>107</v>
      </c>
      <c r="S22" t="s">
        <v>163</v>
      </c>
      <c r="T22" t="s">
        <v>104</v>
      </c>
      <c r="U22" t="s">
        <v>105</v>
      </c>
      <c r="V22" t="s">
        <v>101</v>
      </c>
      <c r="W22" t="s">
        <v>105</v>
      </c>
      <c r="X22" t="s">
        <v>102</v>
      </c>
      <c r="Y22" t="s">
        <v>105</v>
      </c>
      <c r="Z22" t="s">
        <v>106</v>
      </c>
      <c r="AA22" t="s">
        <v>107</v>
      </c>
    </row>
    <row r="23" spans="1:27" x14ac:dyDescent="0.25">
      <c r="A23">
        <v>0.05</v>
      </c>
      <c r="B23">
        <f>50.838/1000</f>
        <v>5.0838000000000001E-2</v>
      </c>
      <c r="C23">
        <f>55.367/1000</f>
        <v>5.5367E-2</v>
      </c>
      <c r="D23">
        <f>49.086/1000</f>
        <v>4.9085999999999998E-2</v>
      </c>
      <c r="E23">
        <f>54.867/1000</f>
        <v>5.4866999999999999E-2</v>
      </c>
      <c r="G23">
        <f t="shared" ref="G23:G33" si="5">B23/1000/$Q$1</f>
        <v>5.4629271437782077E-4</v>
      </c>
      <c r="H23">
        <f t="shared" ref="H23:H33" si="6">C23/1000/$Q$1</f>
        <v>5.9496024070492155E-4</v>
      </c>
      <c r="I23">
        <f t="shared" ref="I23:I33" si="7">D23/1000/$Q$1</f>
        <v>5.274661508704061E-4</v>
      </c>
      <c r="J23">
        <f t="shared" ref="J23:J33" si="8">E23/1000/$Q$1</f>
        <v>5.8958736299161835E-4</v>
      </c>
      <c r="K23">
        <f t="shared" ref="K23:K33" si="9">F23/1000/$Q$1</f>
        <v>0</v>
      </c>
      <c r="L23">
        <f>AVERAGE(B23:E23)</f>
        <v>5.2539499999999996E-2</v>
      </c>
      <c r="M23">
        <f>_xlfn.STDEV.P(B23:E23)</f>
        <v>2.6567732778692279E-3</v>
      </c>
      <c r="N23">
        <f>AVERAGE(G23:J23)</f>
        <v>5.6457661723619164E-4</v>
      </c>
      <c r="O23">
        <f>_xlfn.STDEV.P(G23:J23)</f>
        <v>2.8549035867926404E-5</v>
      </c>
      <c r="S23" t="e">
        <f>[1]czujnik!B94</f>
        <v>#REF!</v>
      </c>
      <c r="T23" t="e">
        <f>[1]czujnik!C94</f>
        <v>#REF!</v>
      </c>
      <c r="U23" t="e">
        <f>[1]czujnik!D94</f>
        <v>#REF!</v>
      </c>
      <c r="V23" t="e">
        <f>[1]czujnik!E94</f>
        <v>#REF!</v>
      </c>
      <c r="W23" t="e">
        <f>[1]czujnik!F94</f>
        <v>#REF!</v>
      </c>
      <c r="X23" t="e">
        <f>[1]czujnik!G94</f>
        <v>#REF!</v>
      </c>
      <c r="Y23" t="e">
        <f>[1]czujnik!H94</f>
        <v>#REF!</v>
      </c>
      <c r="Z23" t="e">
        <f>[1]czujnik!I94</f>
        <v>#REF!</v>
      </c>
      <c r="AA23" t="e">
        <f>[1]czujnik!J94</f>
        <v>#REF!</v>
      </c>
    </row>
    <row r="24" spans="1:27" x14ac:dyDescent="0.25">
      <c r="A24">
        <v>0.1</v>
      </c>
      <c r="B24">
        <f>0.149</f>
        <v>0.14899999999999999</v>
      </c>
      <c r="C24">
        <v>0.13500000000000001</v>
      </c>
      <c r="D24">
        <v>0.124</v>
      </c>
      <c r="E24">
        <f>0.119</f>
        <v>0.11899999999999999</v>
      </c>
      <c r="G24">
        <f t="shared" si="5"/>
        <v>1.6011175585643668E-3</v>
      </c>
      <c r="H24">
        <f t="shared" si="6"/>
        <v>1.4506769825918763E-3</v>
      </c>
      <c r="I24">
        <f t="shared" si="7"/>
        <v>1.3324736728992049E-3</v>
      </c>
      <c r="J24">
        <f t="shared" si="8"/>
        <v>1.2787448957661722E-3</v>
      </c>
      <c r="K24">
        <f t="shared" si="9"/>
        <v>0</v>
      </c>
      <c r="L24">
        <f>AVERAGE(C24:E24)</f>
        <v>0.126</v>
      </c>
      <c r="M24">
        <f>_xlfn.STDEV.P(C24:E24)</f>
        <v>6.6833125519211462E-3</v>
      </c>
      <c r="N24">
        <f>AVERAGE(H24:J24)</f>
        <v>1.353965183752418E-3</v>
      </c>
      <c r="O24">
        <f>_xlfn.STDEV.P(H24:J24)</f>
        <v>7.1817242122513926E-5</v>
      </c>
      <c r="S24" t="e">
        <f>[1]czujnik!B95</f>
        <v>#REF!</v>
      </c>
      <c r="T24">
        <f>B23</f>
        <v>5.0838000000000001E-2</v>
      </c>
      <c r="U24">
        <f>T24/1000/0.09306</f>
        <v>5.4629271437782077E-4</v>
      </c>
      <c r="V24" t="e">
        <f>[1]czujnik!E95</f>
        <v>#REF!</v>
      </c>
      <c r="W24" t="e">
        <f>[1]czujnik!F95</f>
        <v>#REF!</v>
      </c>
      <c r="X24" t="e">
        <f>[1]czujnik!G95</f>
        <v>#REF!</v>
      </c>
      <c r="Y24" t="e">
        <f>[1]czujnik!H95</f>
        <v>#REF!</v>
      </c>
      <c r="Z24" t="e">
        <f>AVERAGE(U24,W24,Y24)</f>
        <v>#REF!</v>
      </c>
      <c r="AA24" t="e">
        <f>_xlfn.STDEV.P(U24,W24,Y24)</f>
        <v>#REF!</v>
      </c>
    </row>
    <row r="25" spans="1:27" x14ac:dyDescent="0.25">
      <c r="A25">
        <v>0.2</v>
      </c>
      <c r="B25">
        <f>0.324</f>
        <v>0.32400000000000001</v>
      </c>
      <c r="C25">
        <v>0.27800000000000002</v>
      </c>
      <c r="D25">
        <v>0.24399999999999999</v>
      </c>
      <c r="E25">
        <f>0.332</f>
        <v>0.33200000000000002</v>
      </c>
      <c r="G25">
        <f t="shared" si="5"/>
        <v>3.4816247582205029E-3</v>
      </c>
      <c r="H25">
        <f t="shared" si="6"/>
        <v>2.9873200085966047E-3</v>
      </c>
      <c r="I25">
        <f t="shared" si="7"/>
        <v>2.6219643240919834E-3</v>
      </c>
      <c r="J25">
        <f t="shared" si="8"/>
        <v>3.5675908016333546E-3</v>
      </c>
      <c r="K25">
        <f t="shared" si="9"/>
        <v>0</v>
      </c>
      <c r="L25">
        <f>AVERAGE(B25,C25,D25)</f>
        <v>0.28200000000000003</v>
      </c>
      <c r="M25">
        <f>_xlfn.STDEV.P(B25,C25,D25)</f>
        <v>3.2782108941718013E-2</v>
      </c>
      <c r="N25">
        <f>AVERAGE(G25:H25,I25)</f>
        <v>3.0303030303030303E-3</v>
      </c>
      <c r="O25">
        <f>_xlfn.STDEV.P((G25:H25,J25))</f>
        <v>2.5569981083995602E-4</v>
      </c>
      <c r="S25" t="e">
        <f>[1]czujnik!B96</f>
        <v>#REF!</v>
      </c>
      <c r="T25" t="e">
        <f>[1]czujnik!C96</f>
        <v>#REF!</v>
      </c>
      <c r="U25" t="e">
        <f>[1]czujnik!D96</f>
        <v>#REF!</v>
      </c>
      <c r="V25" t="e">
        <f>[1]czujnik!E96</f>
        <v>#REF!</v>
      </c>
      <c r="W25" t="e">
        <f>[1]czujnik!F96</f>
        <v>#REF!</v>
      </c>
      <c r="X25" t="e">
        <f>[1]czujnik!G96</f>
        <v>#REF!</v>
      </c>
      <c r="Y25" t="e">
        <f>[1]czujnik!H96</f>
        <v>#REF!</v>
      </c>
      <c r="Z25" t="e">
        <f>[1]czujnik!I96</f>
        <v>#REF!</v>
      </c>
      <c r="AA25" t="e">
        <f>[1]czujnik!J96</f>
        <v>#REF!</v>
      </c>
    </row>
    <row r="26" spans="1:27" x14ac:dyDescent="0.25">
      <c r="A26">
        <v>0.5</v>
      </c>
      <c r="B26">
        <f>0.581</f>
        <v>0.58099999999999996</v>
      </c>
      <c r="C26">
        <v>0.59399999999999997</v>
      </c>
      <c r="D26">
        <f>0.702-0.045</f>
        <v>0.65699999999999992</v>
      </c>
      <c r="E26">
        <f>0.754-0.048</f>
        <v>0.70599999999999996</v>
      </c>
      <c r="F26">
        <v>0.51700000000000002</v>
      </c>
      <c r="G26">
        <f t="shared" si="5"/>
        <v>6.2432839028583702E-3</v>
      </c>
      <c r="H26">
        <f t="shared" si="6"/>
        <v>6.382978723404255E-3</v>
      </c>
      <c r="I26">
        <f t="shared" si="7"/>
        <v>7.0599613152804632E-3</v>
      </c>
      <c r="J26">
        <f t="shared" si="8"/>
        <v>7.5865033311841813E-3</v>
      </c>
      <c r="K26">
        <f t="shared" si="9"/>
        <v>5.5555555555555549E-3</v>
      </c>
      <c r="L26">
        <f>AVERAGE(B26:D26)</f>
        <v>0.61066666666666658</v>
      </c>
      <c r="M26">
        <f>_xlfn.STDEV.P(B26:D26)</f>
        <v>3.3189690501050986E-2</v>
      </c>
      <c r="N26">
        <f>AVERAGE(G26:I26)</f>
        <v>6.5620746471810295E-3</v>
      </c>
      <c r="O26">
        <f>_xlfn.STDEV.P(G26:I26)</f>
        <v>3.566482968090586E-4</v>
      </c>
      <c r="S26" t="e">
        <f>[1]czujnik!B97</f>
        <v>#REF!</v>
      </c>
      <c r="T26" t="e">
        <f>[1]czujnik!C97</f>
        <v>#REF!</v>
      </c>
      <c r="U26" t="e">
        <f>[1]czujnik!D97</f>
        <v>#REF!</v>
      </c>
      <c r="V26" t="e">
        <f>[1]czujnik!E97</f>
        <v>#REF!</v>
      </c>
      <c r="W26" t="e">
        <f>[1]czujnik!F97</f>
        <v>#REF!</v>
      </c>
      <c r="X26" t="e">
        <f>[1]czujnik!G97</f>
        <v>#REF!</v>
      </c>
      <c r="Y26" t="e">
        <f>[1]czujnik!H97</f>
        <v>#REF!</v>
      </c>
      <c r="Z26" t="e">
        <f>[1]czujnik!I97</f>
        <v>#REF!</v>
      </c>
      <c r="AA26" t="e">
        <f>[1]czujnik!J97</f>
        <v>#REF!</v>
      </c>
    </row>
    <row r="27" spans="1:27" x14ac:dyDescent="0.25">
      <c r="A27">
        <v>1</v>
      </c>
      <c r="B27">
        <v>0.88300000000000001</v>
      </c>
      <c r="C27">
        <f>0.941</f>
        <v>0.94099999999999995</v>
      </c>
      <c r="D27">
        <f>1.105-0.045</f>
        <v>1.06</v>
      </c>
      <c r="E27">
        <f>1.061-0.048</f>
        <v>1.0129999999999999</v>
      </c>
      <c r="F27">
        <v>0.82799999999999996</v>
      </c>
      <c r="G27">
        <f t="shared" si="5"/>
        <v>9.4885020416935299E-3</v>
      </c>
      <c r="H27">
        <f t="shared" si="6"/>
        <v>1.0111755856436706E-2</v>
      </c>
      <c r="I27">
        <f t="shared" si="7"/>
        <v>1.1390500752202879E-2</v>
      </c>
      <c r="J27">
        <f t="shared" si="8"/>
        <v>1.0885450247152373E-2</v>
      </c>
      <c r="K27">
        <f t="shared" si="9"/>
        <v>8.8974854932301738E-3</v>
      </c>
      <c r="L27">
        <f>AVERAGE(C27:E27)</f>
        <v>1.0046666666666666</v>
      </c>
      <c r="M27">
        <f>_xlfn.STDEV.P(C27:E27)</f>
        <v>4.8937601993649958E-2</v>
      </c>
      <c r="N27">
        <f>AVERAGE(H27:J27)</f>
        <v>1.0795902285263987E-2</v>
      </c>
      <c r="O27">
        <f>_xlfn.STDEV.P(H27:J27)</f>
        <v>5.258715021883725E-4</v>
      </c>
      <c r="S27" t="e">
        <f>[1]czujnik!B98</f>
        <v>#REF!</v>
      </c>
      <c r="T27" t="e">
        <f>[1]czujnik!C98</f>
        <v>#REF!</v>
      </c>
      <c r="U27" t="e">
        <f>[1]czujnik!D98</f>
        <v>#REF!</v>
      </c>
      <c r="V27" t="e">
        <f>[1]czujnik!E98</f>
        <v>#REF!</v>
      </c>
      <c r="W27" t="e">
        <f>[1]czujnik!F98</f>
        <v>#REF!</v>
      </c>
      <c r="X27" t="e">
        <f>[1]czujnik!G98</f>
        <v>#REF!</v>
      </c>
      <c r="Y27" t="e">
        <f>[1]czujnik!H98</f>
        <v>#REF!</v>
      </c>
      <c r="Z27" t="e">
        <f>[1]czujnik!I98</f>
        <v>#REF!</v>
      </c>
      <c r="AA27" t="e">
        <f>[1]czujnik!J98</f>
        <v>#REF!</v>
      </c>
    </row>
    <row r="28" spans="1:27" x14ac:dyDescent="0.25">
      <c r="A28">
        <v>2</v>
      </c>
      <c r="B28">
        <v>1.8680000000000001</v>
      </c>
      <c r="C28">
        <v>2.12</v>
      </c>
      <c r="D28">
        <f>2.43-0.045</f>
        <v>2.3850000000000002</v>
      </c>
      <c r="E28">
        <f>2.341-0.048</f>
        <v>2.2930000000000001</v>
      </c>
      <c r="F28">
        <v>2.0190000000000001</v>
      </c>
      <c r="G28">
        <f t="shared" si="5"/>
        <v>2.0073071136900923E-2</v>
      </c>
      <c r="H28">
        <f t="shared" si="6"/>
        <v>2.2781001504405759E-2</v>
      </c>
      <c r="I28">
        <f t="shared" si="7"/>
        <v>2.5628626692456483E-2</v>
      </c>
      <c r="J28">
        <f t="shared" si="8"/>
        <v>2.4640017193208685E-2</v>
      </c>
      <c r="K28">
        <f t="shared" si="9"/>
        <v>2.1695680206318502E-2</v>
      </c>
      <c r="L28">
        <f>AVERAGE(C28:E28)</f>
        <v>2.2660000000000005</v>
      </c>
      <c r="M28">
        <f>_xlfn.STDEV.P(C28:F28)</f>
        <v>0.14314568627800145</v>
      </c>
      <c r="N28">
        <f>AVERAGE(H28:J28)</f>
        <v>2.4349881796690311E-2</v>
      </c>
      <c r="O28">
        <f>_xlfn.STDEV.P(H28:K28)</f>
        <v>1.5382085351171458E-3</v>
      </c>
      <c r="S28" t="e">
        <f>[1]czujnik!B99</f>
        <v>#REF!</v>
      </c>
      <c r="T28" t="e">
        <f>[1]czujnik!C99</f>
        <v>#REF!</v>
      </c>
      <c r="U28" t="e">
        <f>[1]czujnik!D99</f>
        <v>#REF!</v>
      </c>
      <c r="V28" t="e">
        <f>[1]czujnik!E99</f>
        <v>#REF!</v>
      </c>
      <c r="W28" t="e">
        <f>[1]czujnik!F99</f>
        <v>#REF!</v>
      </c>
      <c r="X28" t="e">
        <f>[1]czujnik!G99</f>
        <v>#REF!</v>
      </c>
      <c r="Y28" t="e">
        <f>[1]czujnik!H99</f>
        <v>#REF!</v>
      </c>
      <c r="Z28" t="e">
        <f>[1]czujnik!I99</f>
        <v>#REF!</v>
      </c>
      <c r="AA28" t="e">
        <f>[1]czujnik!J99</f>
        <v>#REF!</v>
      </c>
    </row>
    <row r="29" spans="1:27" x14ac:dyDescent="0.25">
      <c r="A29">
        <v>5</v>
      </c>
      <c r="B29">
        <v>4.4640000000000004</v>
      </c>
      <c r="D29">
        <f>5.208-0.045</f>
        <v>5.1630000000000003</v>
      </c>
      <c r="E29">
        <f>5.219-0.048</f>
        <v>5.1710000000000003</v>
      </c>
      <c r="F29">
        <f>4.785</f>
        <v>4.7850000000000001</v>
      </c>
      <c r="G29">
        <f t="shared" si="5"/>
        <v>4.7969052224371374E-2</v>
      </c>
      <c r="H29">
        <f t="shared" si="6"/>
        <v>0</v>
      </c>
      <c r="I29">
        <f t="shared" si="7"/>
        <v>5.5480335267569306E-2</v>
      </c>
      <c r="J29">
        <f t="shared" si="8"/>
        <v>5.5566301310982162E-2</v>
      </c>
      <c r="K29">
        <f t="shared" si="9"/>
        <v>5.1418439716312055E-2</v>
      </c>
      <c r="L29">
        <f>AVERAGE(C29:F29)</f>
        <v>5.0396666666666663</v>
      </c>
      <c r="M29">
        <f>_xlfn.STDEV.P(C29:F29)</f>
        <v>0.18010614154498519</v>
      </c>
      <c r="N29">
        <f>AVERAGE(I29:K29)</f>
        <v>5.4155025431621172E-2</v>
      </c>
      <c r="O29">
        <f>_xlfn.STDEV.P(I29:K29)</f>
        <v>1.9353765478721807E-3</v>
      </c>
      <c r="S29" t="e">
        <f>[1]czujnik!B100</f>
        <v>#REF!</v>
      </c>
      <c r="T29" t="e">
        <f>[1]czujnik!C100</f>
        <v>#REF!</v>
      </c>
      <c r="U29" t="e">
        <f>[1]czujnik!D100</f>
        <v>#REF!</v>
      </c>
      <c r="V29" t="e">
        <f>[1]czujnik!E100</f>
        <v>#REF!</v>
      </c>
      <c r="W29" t="e">
        <f>[1]czujnik!F100</f>
        <v>#REF!</v>
      </c>
      <c r="X29" t="e">
        <f>[1]czujnik!G100</f>
        <v>#REF!</v>
      </c>
      <c r="Y29" t="e">
        <f>[1]czujnik!H100</f>
        <v>#REF!</v>
      </c>
      <c r="Z29" t="e">
        <f>[1]czujnik!I100</f>
        <v>#REF!</v>
      </c>
      <c r="AA29" t="e">
        <f>[1]czujnik!J100</f>
        <v>#REF!</v>
      </c>
    </row>
    <row r="30" spans="1:27" x14ac:dyDescent="0.25">
      <c r="A30">
        <v>10</v>
      </c>
      <c r="B30">
        <f>7.985</f>
        <v>7.9850000000000003</v>
      </c>
      <c r="D30">
        <f>8.851-0.045</f>
        <v>8.8060000000000009</v>
      </c>
      <c r="E30">
        <f>8.432-0.048</f>
        <v>8.3840000000000003</v>
      </c>
      <c r="F30">
        <v>8.9510000000000005</v>
      </c>
      <c r="G30">
        <f t="shared" si="5"/>
        <v>8.5804857081452829E-2</v>
      </c>
      <c r="H30">
        <f t="shared" si="6"/>
        <v>0</v>
      </c>
      <c r="I30">
        <f t="shared" si="7"/>
        <v>9.4627122286696772E-2</v>
      </c>
      <c r="J30">
        <f t="shared" si="8"/>
        <v>9.0092413496668827E-2</v>
      </c>
      <c r="K30">
        <f t="shared" si="9"/>
        <v>9.6185256823554693E-2</v>
      </c>
      <c r="L30">
        <f>AVERAGE(B30,D30,E30)</f>
        <v>8.3916666666666675</v>
      </c>
      <c r="M30">
        <f>_xlfn.STDEV.P(B30,D30,E30)</f>
        <v>0.33521568512758426</v>
      </c>
      <c r="N30">
        <f>AVERAGE(G30,I30,J30)</f>
        <v>9.0174797621606143E-2</v>
      </c>
      <c r="O30">
        <f>AVERAGE(H30,J30,K30)</f>
        <v>6.2092556773407838E-2</v>
      </c>
      <c r="S30" t="e">
        <f>[1]czujnik!B101</f>
        <v>#REF!</v>
      </c>
      <c r="T30" t="e">
        <f>[1]czujnik!C101</f>
        <v>#REF!</v>
      </c>
      <c r="U30" t="e">
        <f>[1]czujnik!D101</f>
        <v>#REF!</v>
      </c>
      <c r="V30" t="e">
        <f>[1]czujnik!E101</f>
        <v>#REF!</v>
      </c>
      <c r="W30" t="e">
        <f>[1]czujnik!F101</f>
        <v>#REF!</v>
      </c>
      <c r="X30" t="e">
        <f>[1]czujnik!G101</f>
        <v>#REF!</v>
      </c>
      <c r="Y30" t="e">
        <f>[1]czujnik!H101</f>
        <v>#REF!</v>
      </c>
      <c r="Z30" t="e">
        <f>[1]czujnik!I101</f>
        <v>#REF!</v>
      </c>
      <c r="AA30" t="e">
        <f>[1]czujnik!J101</f>
        <v>#REF!</v>
      </c>
    </row>
    <row r="31" spans="1:27" x14ac:dyDescent="0.25">
      <c r="A31">
        <v>15</v>
      </c>
      <c r="B31">
        <v>11.616</v>
      </c>
      <c r="D31">
        <f>11.717-0.045</f>
        <v>11.672000000000001</v>
      </c>
      <c r="E31">
        <f>10.943-0.048</f>
        <v>10.895</v>
      </c>
      <c r="F31">
        <v>12.131</v>
      </c>
      <c r="G31">
        <f t="shared" si="5"/>
        <v>0.12482269503546098</v>
      </c>
      <c r="H31">
        <f t="shared" si="6"/>
        <v>0</v>
      </c>
      <c r="I31">
        <f t="shared" si="7"/>
        <v>0.12542445733935095</v>
      </c>
      <c r="J31">
        <f t="shared" si="8"/>
        <v>0.11707500537287771</v>
      </c>
      <c r="K31">
        <f t="shared" si="9"/>
        <v>0.13035675908016334</v>
      </c>
      <c r="L31">
        <f>AVERAGE(B31:E31)</f>
        <v>11.394333333333334</v>
      </c>
      <c r="M31">
        <f>_xlfn.STDEV.P(B31:E31)</f>
        <v>0.35382136107866036</v>
      </c>
      <c r="N31">
        <f>AVERAGE(G31:J31)</f>
        <v>9.1830539436922404E-2</v>
      </c>
      <c r="O31">
        <f>_xlfn.STDEV.P(G31:J31)</f>
        <v>5.3120534364643437E-2</v>
      </c>
      <c r="S31" t="e">
        <f>[1]czujnik!B102</f>
        <v>#REF!</v>
      </c>
      <c r="T31" t="e">
        <f>[1]czujnik!C102</f>
        <v>#REF!</v>
      </c>
      <c r="U31" t="e">
        <f>[1]czujnik!D102</f>
        <v>#REF!</v>
      </c>
      <c r="V31" t="e">
        <f>[1]czujnik!E102</f>
        <v>#REF!</v>
      </c>
      <c r="W31" t="e">
        <f>[1]czujnik!F102</f>
        <v>#REF!</v>
      </c>
      <c r="X31" t="e">
        <f>[1]czujnik!G102</f>
        <v>#REF!</v>
      </c>
      <c r="Y31" t="e">
        <f>[1]czujnik!H102</f>
        <v>#REF!</v>
      </c>
      <c r="Z31" t="e">
        <f>[1]czujnik!I102</f>
        <v>#REF!</v>
      </c>
      <c r="AA31" t="e">
        <f>[1]czujnik!J102</f>
        <v>#REF!</v>
      </c>
    </row>
    <row r="32" spans="1:27" x14ac:dyDescent="0.25">
      <c r="A32">
        <v>20</v>
      </c>
      <c r="G32">
        <f t="shared" si="5"/>
        <v>0</v>
      </c>
      <c r="H32">
        <f t="shared" si="6"/>
        <v>0</v>
      </c>
      <c r="I32">
        <f t="shared" si="7"/>
        <v>0</v>
      </c>
      <c r="J32">
        <f t="shared" si="8"/>
        <v>0</v>
      </c>
      <c r="K32">
        <f t="shared" si="9"/>
        <v>0</v>
      </c>
      <c r="L32" t="e">
        <f>AVERAGE(B32:E32)</f>
        <v>#DIV/0!</v>
      </c>
      <c r="M32" t="e">
        <f>_xlfn.STDEV.P(B32:E32)</f>
        <v>#DIV/0!</v>
      </c>
      <c r="N32">
        <f>AVERAGE(G32:J32)</f>
        <v>0</v>
      </c>
      <c r="O32">
        <f>_xlfn.STDEV.P(G32:J32)</f>
        <v>0</v>
      </c>
      <c r="S32" t="e">
        <f>[1]czujnik!B103</f>
        <v>#REF!</v>
      </c>
      <c r="T32" t="e">
        <f>[1]czujnik!C103</f>
        <v>#REF!</v>
      </c>
      <c r="U32" t="e">
        <f>[1]czujnik!D103</f>
        <v>#REF!</v>
      </c>
      <c r="V32" t="e">
        <f>[1]czujnik!E103</f>
        <v>#REF!</v>
      </c>
      <c r="W32" t="e">
        <f>[1]czujnik!F103</f>
        <v>#REF!</v>
      </c>
      <c r="X32" t="e">
        <f>[1]czujnik!G103</f>
        <v>#REF!</v>
      </c>
      <c r="Y32" t="e">
        <f>[1]czujnik!H103</f>
        <v>#REF!</v>
      </c>
      <c r="Z32" t="e">
        <f>[1]czujnik!I103</f>
        <v>#REF!</v>
      </c>
      <c r="AA32" t="e">
        <f>[1]czujnik!J103</f>
        <v>#REF!</v>
      </c>
    </row>
    <row r="33" spans="1:35" x14ac:dyDescent="0.25">
      <c r="A33">
        <v>30</v>
      </c>
      <c r="G33">
        <f t="shared" si="5"/>
        <v>0</v>
      </c>
      <c r="H33">
        <f t="shared" si="6"/>
        <v>0</v>
      </c>
      <c r="I33">
        <f t="shared" si="7"/>
        <v>0</v>
      </c>
      <c r="J33">
        <f t="shared" si="8"/>
        <v>0</v>
      </c>
      <c r="K33">
        <f t="shared" si="9"/>
        <v>0</v>
      </c>
      <c r="L33" t="e">
        <f>AVERAGE(B33:E33)</f>
        <v>#DIV/0!</v>
      </c>
      <c r="M33" t="e">
        <f>_xlfn.STDEV.P(B33:E33)</f>
        <v>#DIV/0!</v>
      </c>
      <c r="N33">
        <f>AVERAGE(G33:J33)</f>
        <v>0</v>
      </c>
      <c r="O33">
        <f>_xlfn.STDEV.P(G33:J33)</f>
        <v>0</v>
      </c>
      <c r="S33" t="e">
        <f>[1]czujnik!B104</f>
        <v>#REF!</v>
      </c>
      <c r="T33" t="e">
        <f>[1]czujnik!C104</f>
        <v>#REF!</v>
      </c>
      <c r="U33" t="e">
        <f>[1]czujnik!D104</f>
        <v>#REF!</v>
      </c>
      <c r="V33" t="e">
        <f>[1]czujnik!E104</f>
        <v>#REF!</v>
      </c>
      <c r="W33" t="e">
        <f>[1]czujnik!F104</f>
        <v>#REF!</v>
      </c>
      <c r="X33" t="e">
        <f>[1]czujnik!G104</f>
        <v>#REF!</v>
      </c>
      <c r="Y33" t="e">
        <f>[1]czujnik!H104</f>
        <v>#REF!</v>
      </c>
      <c r="Z33" t="e">
        <f>[1]czujnik!I104</f>
        <v>#REF!</v>
      </c>
      <c r="AA33" t="e">
        <f>[1]czujnik!J104</f>
        <v>#REF!</v>
      </c>
    </row>
    <row r="34" spans="1:35" x14ac:dyDescent="0.25">
      <c r="S34" t="e">
        <f>[1]czujnik!B105</f>
        <v>#REF!</v>
      </c>
      <c r="T34" t="e">
        <f>[1]czujnik!C105</f>
        <v>#REF!</v>
      </c>
      <c r="U34" t="e">
        <f>[1]czujnik!D105</f>
        <v>#REF!</v>
      </c>
      <c r="V34" t="e">
        <f>[1]czujnik!E105</f>
        <v>#REF!</v>
      </c>
      <c r="W34" t="e">
        <f>[1]czujnik!F105</f>
        <v>#REF!</v>
      </c>
      <c r="X34" t="e">
        <f>[1]czujnik!G105</f>
        <v>#REF!</v>
      </c>
      <c r="Y34" t="e">
        <f>[1]czujnik!H105</f>
        <v>#REF!</v>
      </c>
      <c r="Z34" t="e">
        <f>[1]czujnik!I105</f>
        <v>#REF!</v>
      </c>
      <c r="AA34" t="e">
        <f>[1]czujnik!J105</f>
        <v>#REF!</v>
      </c>
    </row>
    <row r="35" spans="1:35" x14ac:dyDescent="0.25">
      <c r="S35" t="e">
        <f>[1]czujnik!B106</f>
        <v>#REF!</v>
      </c>
      <c r="T35" t="e">
        <f>[1]czujnik!C106</f>
        <v>#REF!</v>
      </c>
      <c r="U35" t="e">
        <f>[1]czujnik!D106</f>
        <v>#REF!</v>
      </c>
      <c r="V35" t="e">
        <f>[1]czujnik!E106</f>
        <v>#REF!</v>
      </c>
      <c r="W35" t="e">
        <f>[1]czujnik!F106</f>
        <v>#REF!</v>
      </c>
      <c r="X35" t="e">
        <f>[1]czujnik!G106</f>
        <v>#REF!</v>
      </c>
      <c r="Y35" t="e">
        <f>[1]czujnik!H106</f>
        <v>#REF!</v>
      </c>
      <c r="Z35" t="e">
        <f>[1]czujnik!I106</f>
        <v>#REF!</v>
      </c>
      <c r="AA35" t="e">
        <f>[1]czujnik!J106</f>
        <v>#REF!</v>
      </c>
      <c r="AE35" t="s">
        <v>154</v>
      </c>
      <c r="AI35" t="s">
        <v>162</v>
      </c>
    </row>
    <row r="36" spans="1:35" x14ac:dyDescent="0.25">
      <c r="S36" t="e">
        <f>[1]czujnik!B107</f>
        <v>#REF!</v>
      </c>
      <c r="T36" t="e">
        <f>[1]czujnik!C107</f>
        <v>#REF!</v>
      </c>
      <c r="U36" t="e">
        <f>[1]czujnik!D107</f>
        <v>#REF!</v>
      </c>
      <c r="V36" t="e">
        <f>[1]czujnik!E107</f>
        <v>#REF!</v>
      </c>
      <c r="W36" t="e">
        <f>[1]czujnik!F107</f>
        <v>#REF!</v>
      </c>
      <c r="X36" t="e">
        <f>[1]czujnik!G107</f>
        <v>#REF!</v>
      </c>
      <c r="Y36" t="e">
        <f>[1]czujnik!H107</f>
        <v>#REF!</v>
      </c>
      <c r="Z36" t="e">
        <f>[1]czujnik!I107</f>
        <v>#REF!</v>
      </c>
      <c r="AA36" t="e">
        <f>[1]czujnik!J107</f>
        <v>#REF!</v>
      </c>
      <c r="AE36" t="s">
        <v>161</v>
      </c>
      <c r="AI36" s="34" t="s">
        <v>160</v>
      </c>
    </row>
    <row r="37" spans="1:35" x14ac:dyDescent="0.25">
      <c r="S37" t="e">
        <f>[1]czujnik!B108</f>
        <v>#REF!</v>
      </c>
      <c r="T37" t="e">
        <f>[1]czujnik!C108</f>
        <v>#REF!</v>
      </c>
      <c r="U37" t="e">
        <f>[1]czujnik!D108</f>
        <v>#REF!</v>
      </c>
      <c r="V37" t="e">
        <f>[1]czujnik!E108</f>
        <v>#REF!</v>
      </c>
      <c r="W37" t="e">
        <f>[1]czujnik!F108</f>
        <v>#REF!</v>
      </c>
      <c r="X37" t="e">
        <f>[1]czujnik!G108</f>
        <v>#REF!</v>
      </c>
      <c r="Y37" t="e">
        <f>[1]czujnik!H108</f>
        <v>#REF!</v>
      </c>
      <c r="Z37" t="e">
        <f>[1]czujnik!I108</f>
        <v>#REF!</v>
      </c>
      <c r="AA37" t="e">
        <f>[1]czujnik!J108</f>
        <v>#REF!</v>
      </c>
      <c r="AI37" s="34" t="s">
        <v>159</v>
      </c>
    </row>
    <row r="38" spans="1:35" x14ac:dyDescent="0.25">
      <c r="AC38">
        <f>0.0071*0.05+0.002</f>
        <v>2.3550000000000003E-3</v>
      </c>
      <c r="AE38" t="s">
        <v>158</v>
      </c>
    </row>
    <row r="39" spans="1:35" x14ac:dyDescent="0.25">
      <c r="L39" t="s">
        <v>158</v>
      </c>
      <c r="AE39" s="34" t="s">
        <v>157</v>
      </c>
    </row>
    <row r="40" spans="1:35" x14ac:dyDescent="0.25">
      <c r="L40" t="s">
        <v>156</v>
      </c>
      <c r="AE40" s="34" t="s">
        <v>155</v>
      </c>
    </row>
    <row r="43" spans="1:35" x14ac:dyDescent="0.25">
      <c r="L43" t="s">
        <v>154</v>
      </c>
    </row>
    <row r="44" spans="1:35" x14ac:dyDescent="0.25">
      <c r="L44" t="s">
        <v>153</v>
      </c>
    </row>
    <row r="47" spans="1:35" x14ac:dyDescent="0.25">
      <c r="L47" t="s">
        <v>152</v>
      </c>
    </row>
    <row r="48" spans="1:35" x14ac:dyDescent="0.25">
      <c r="L48" s="34" t="s">
        <v>151</v>
      </c>
    </row>
    <row r="49" spans="12:12" x14ac:dyDescent="0.25">
      <c r="L49" s="34"/>
    </row>
    <row r="65" spans="36:38" x14ac:dyDescent="0.25">
      <c r="AJ65" t="s">
        <v>144</v>
      </c>
      <c r="AK65">
        <v>1.17E-4</v>
      </c>
      <c r="AL65">
        <f>AK65/0.0093</f>
        <v>1.2580645161290323E-2</v>
      </c>
    </row>
    <row r="67" spans="36:38" x14ac:dyDescent="0.25">
      <c r="AJ67" t="s">
        <v>150</v>
      </c>
      <c r="AK67">
        <v>1.83E-4</v>
      </c>
      <c r="AL67">
        <f>AK67/0.0093</f>
        <v>1.9677419354838712E-2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59195-4053-486E-AD2E-57284DEE7C01}">
  <dimension ref="A1:AA33"/>
  <sheetViews>
    <sheetView zoomScale="55" zoomScaleNormal="55" workbookViewId="0">
      <selection activeCell="P36" sqref="P36"/>
    </sheetView>
  </sheetViews>
  <sheetFormatPr defaultRowHeight="15" x14ac:dyDescent="0.25"/>
  <sheetData>
    <row r="1" spans="1:27" x14ac:dyDescent="0.25">
      <c r="A1" t="s">
        <v>177</v>
      </c>
    </row>
    <row r="3" spans="1:27" x14ac:dyDescent="0.25">
      <c r="A3" t="s">
        <v>163</v>
      </c>
      <c r="B3" t="s">
        <v>179</v>
      </c>
      <c r="C3" t="s">
        <v>110</v>
      </c>
      <c r="D3" t="s">
        <v>178</v>
      </c>
      <c r="E3" t="s">
        <v>112</v>
      </c>
      <c r="F3" t="s">
        <v>178</v>
      </c>
      <c r="G3" t="s">
        <v>171</v>
      </c>
      <c r="H3" s="36" t="s">
        <v>178</v>
      </c>
      <c r="I3" t="s">
        <v>170</v>
      </c>
      <c r="J3" t="s">
        <v>178</v>
      </c>
      <c r="K3" s="38"/>
    </row>
    <row r="4" spans="1:27" x14ac:dyDescent="0.25">
      <c r="H4" s="36"/>
      <c r="V4">
        <v>0.9929</v>
      </c>
      <c r="W4">
        <v>0.98509999999999998</v>
      </c>
      <c r="X4">
        <f>0.9969</f>
        <v>0.99690000000000001</v>
      </c>
      <c r="Y4">
        <f>0.9975</f>
        <v>0.99750000000000005</v>
      </c>
      <c r="Z4">
        <v>0.99729999999999996</v>
      </c>
    </row>
    <row r="5" spans="1:27" x14ac:dyDescent="0.25">
      <c r="A5">
        <v>0.1</v>
      </c>
      <c r="B5">
        <f t="shared" ref="B5:B14" si="0">1/A5</f>
        <v>10</v>
      </c>
      <c r="C5">
        <f>0.25</f>
        <v>0.25</v>
      </c>
      <c r="D5">
        <f t="shared" ref="D5:D14" si="1">1/C5</f>
        <v>4</v>
      </c>
      <c r="E5">
        <f>0.237</f>
        <v>0.23699999999999999</v>
      </c>
      <c r="F5" s="37">
        <f t="shared" ref="F5:F13" si="2">1/E5</f>
        <v>4.2194092827004219</v>
      </c>
      <c r="G5">
        <f>0.234</f>
        <v>0.23400000000000001</v>
      </c>
      <c r="H5" s="36">
        <f t="shared" ref="H5:H14" si="3">1/G5</f>
        <v>4.2735042735042734</v>
      </c>
      <c r="I5">
        <f>0.234</f>
        <v>0.23400000000000001</v>
      </c>
      <c r="J5" s="35">
        <f t="shared" ref="J5:J14" si="4">1/I5</f>
        <v>4.2735042735042734</v>
      </c>
      <c r="V5">
        <f>-0.0896/0.6013</f>
        <v>-0.14901047729918512</v>
      </c>
      <c r="W5">
        <f>-0.0693/0.549</f>
        <v>-0.1262295081967213</v>
      </c>
      <c r="X5">
        <f>-0.0429/0.4923</f>
        <v>-8.7141986593540527E-2</v>
      </c>
      <c r="Y5">
        <f>-0.0418/0.555</f>
        <v>-7.5315315315315309E-2</v>
      </c>
      <c r="Z5">
        <f>-0.04/0.5515</f>
        <v>-7.2529465095194923E-2</v>
      </c>
    </row>
    <row r="6" spans="1:27" x14ac:dyDescent="0.25">
      <c r="A6">
        <v>0.2</v>
      </c>
      <c r="B6">
        <f t="shared" si="0"/>
        <v>5</v>
      </c>
      <c r="C6">
        <v>0.32800000000000001</v>
      </c>
      <c r="D6">
        <f t="shared" si="1"/>
        <v>3.0487804878048781</v>
      </c>
      <c r="E6">
        <v>0.40100000000000002</v>
      </c>
      <c r="F6" s="37">
        <f t="shared" si="2"/>
        <v>2.4937655860349124</v>
      </c>
      <c r="G6">
        <f>0.465-0.109</f>
        <v>0.35600000000000004</v>
      </c>
      <c r="H6" s="36">
        <f t="shared" si="3"/>
        <v>2.8089887640449436</v>
      </c>
      <c r="I6">
        <v>0.35899999999999999</v>
      </c>
      <c r="J6" s="35">
        <f t="shared" si="4"/>
        <v>2.785515320334262</v>
      </c>
      <c r="V6">
        <f>-1/V5</f>
        <v>6.7109374999999991</v>
      </c>
      <c r="W6">
        <f>-1/W5</f>
        <v>7.9220779220779232</v>
      </c>
      <c r="X6">
        <f>-1/X5</f>
        <v>11.475524475524475</v>
      </c>
      <c r="Y6">
        <f>-1/Y5</f>
        <v>13.277511961722489</v>
      </c>
      <c r="Z6">
        <f>-1/Z5</f>
        <v>13.7875</v>
      </c>
    </row>
    <row r="7" spans="1:27" x14ac:dyDescent="0.25">
      <c r="A7">
        <v>0.5</v>
      </c>
      <c r="B7">
        <f t="shared" si="0"/>
        <v>2</v>
      </c>
      <c r="C7">
        <v>0.753</v>
      </c>
      <c r="D7">
        <f t="shared" si="1"/>
        <v>1.3280212483399734</v>
      </c>
      <c r="E7">
        <v>0.995</v>
      </c>
      <c r="F7" s="37">
        <f t="shared" si="2"/>
        <v>1.0050251256281406</v>
      </c>
      <c r="G7">
        <f>1-0.109</f>
        <v>0.89100000000000001</v>
      </c>
      <c r="H7" s="36">
        <f t="shared" si="3"/>
        <v>1.122334455667789</v>
      </c>
      <c r="I7">
        <v>0.89100000000000001</v>
      </c>
      <c r="J7" s="35">
        <f t="shared" si="4"/>
        <v>1.122334455667789</v>
      </c>
    </row>
    <row r="8" spans="1:27" x14ac:dyDescent="0.25">
      <c r="A8">
        <v>1</v>
      </c>
      <c r="B8">
        <f t="shared" si="0"/>
        <v>1</v>
      </c>
      <c r="C8">
        <v>1.133</v>
      </c>
      <c r="D8">
        <f t="shared" si="1"/>
        <v>0.88261253309796994</v>
      </c>
      <c r="E8">
        <v>1.552</v>
      </c>
      <c r="F8" s="37">
        <f t="shared" si="2"/>
        <v>0.64432989690721643</v>
      </c>
      <c r="G8">
        <f>1.519-0.106</f>
        <v>1.4129999999999998</v>
      </c>
      <c r="H8" s="36">
        <f t="shared" si="3"/>
        <v>0.70771408351026199</v>
      </c>
      <c r="I8">
        <f>1.519-0.106</f>
        <v>1.4129999999999998</v>
      </c>
      <c r="J8" s="35">
        <f t="shared" si="4"/>
        <v>0.70771408351026199</v>
      </c>
      <c r="X8">
        <f>AVERAGE(X6:Z6)</f>
        <v>12.846845479082321</v>
      </c>
      <c r="Z8">
        <f>AVERAGE(V6:Y6)</f>
        <v>9.8465129648312217</v>
      </c>
      <c r="AA8">
        <f>_xlfn.STDEV.P(V6:Y6)</f>
        <v>2.6438946815289555</v>
      </c>
    </row>
    <row r="9" spans="1:27" x14ac:dyDescent="0.25">
      <c r="A9">
        <v>2</v>
      </c>
      <c r="B9">
        <f t="shared" si="0"/>
        <v>0.5</v>
      </c>
      <c r="C9">
        <v>2.6949999999999998</v>
      </c>
      <c r="D9">
        <f t="shared" si="1"/>
        <v>0.3710575139146568</v>
      </c>
      <c r="E9">
        <v>3.5550000000000002</v>
      </c>
      <c r="F9" s="37">
        <f t="shared" si="2"/>
        <v>0.28129395218002812</v>
      </c>
      <c r="G9">
        <f>3.359-0.106</f>
        <v>3.2530000000000001</v>
      </c>
      <c r="H9" s="36">
        <f t="shared" si="3"/>
        <v>0.30740854595757761</v>
      </c>
      <c r="I9">
        <v>3.3010000000000002</v>
      </c>
      <c r="J9" s="35">
        <f t="shared" si="4"/>
        <v>0.30293850348379275</v>
      </c>
      <c r="X9">
        <f>_xlfn.STDEV.P(X6:Z6)</f>
        <v>0.9917704441706624</v>
      </c>
      <c r="Z9">
        <f>AVERAGE(V6:X6)</f>
        <v>8.7028466325341327</v>
      </c>
      <c r="AA9">
        <f>_xlfn.STDEV.P(V6:X6)</f>
        <v>2.0219663855192951</v>
      </c>
    </row>
    <row r="10" spans="1:27" x14ac:dyDescent="0.25">
      <c r="A10">
        <v>5</v>
      </c>
      <c r="B10">
        <f t="shared" si="0"/>
        <v>0.2</v>
      </c>
      <c r="C10">
        <v>6.0880000000000001</v>
      </c>
      <c r="D10">
        <f t="shared" si="1"/>
        <v>0.16425755584756899</v>
      </c>
      <c r="E10">
        <v>8.1620000000000008</v>
      </c>
      <c r="F10" s="37">
        <f t="shared" si="2"/>
        <v>0.12251899044351873</v>
      </c>
      <c r="G10">
        <f>7.535-0.106</f>
        <v>7.4290000000000003</v>
      </c>
      <c r="H10" s="36">
        <f t="shared" si="3"/>
        <v>0.13460761879122357</v>
      </c>
      <c r="I10">
        <v>7.63</v>
      </c>
      <c r="J10" s="35">
        <f t="shared" si="4"/>
        <v>0.13106159895150721</v>
      </c>
      <c r="Z10">
        <f>AVERAGE(W6:Y6)</f>
        <v>10.891704786441629</v>
      </c>
      <c r="AA10">
        <f>_xlfn.STDEV.P(W6:Y6)</f>
        <v>2.2249797767270487</v>
      </c>
    </row>
    <row r="11" spans="1:27" x14ac:dyDescent="0.25">
      <c r="A11">
        <v>10</v>
      </c>
      <c r="B11">
        <f t="shared" si="0"/>
        <v>0.1</v>
      </c>
      <c r="C11">
        <v>10.513</v>
      </c>
      <c r="D11">
        <f t="shared" si="1"/>
        <v>9.5120327213925618E-2</v>
      </c>
      <c r="E11">
        <v>14.682</v>
      </c>
      <c r="F11" s="37">
        <f t="shared" si="2"/>
        <v>6.8110611633292462E-2</v>
      </c>
      <c r="G11">
        <f>13.31-0.106</f>
        <v>13.204000000000001</v>
      </c>
      <c r="H11" s="36">
        <f t="shared" si="3"/>
        <v>7.5734625870948188E-2</v>
      </c>
      <c r="I11">
        <v>13.968</v>
      </c>
      <c r="J11" s="35">
        <f t="shared" si="4"/>
        <v>7.1592210767468495E-2</v>
      </c>
      <c r="T11">
        <f>-0.0392/0.4933</f>
        <v>-7.9464828704642207E-2</v>
      </c>
      <c r="U11">
        <f>-0.0349/0.557</f>
        <v>-6.2657091561938952E-2</v>
      </c>
      <c r="V11">
        <f>-0.0703/0.6068</f>
        <v>-0.11585365853658537</v>
      </c>
      <c r="W11">
        <f>-0.0316/0.5539</f>
        <v>-5.7050009026900175E-2</v>
      </c>
    </row>
    <row r="12" spans="1:27" x14ac:dyDescent="0.25">
      <c r="A12">
        <v>15</v>
      </c>
      <c r="B12">
        <f t="shared" si="0"/>
        <v>6.6666666666666666E-2</v>
      </c>
      <c r="C12">
        <v>14.654</v>
      </c>
      <c r="D12">
        <f t="shared" si="1"/>
        <v>6.8240753377917296E-2</v>
      </c>
      <c r="E12">
        <v>19.922000000000001</v>
      </c>
      <c r="F12" s="37">
        <f t="shared" si="2"/>
        <v>5.0195763477562494E-2</v>
      </c>
      <c r="G12">
        <f>17.69-0.106</f>
        <v>17.584</v>
      </c>
      <c r="H12" s="36">
        <f t="shared" si="3"/>
        <v>5.6869881710646046E-2</v>
      </c>
      <c r="I12">
        <v>20.456</v>
      </c>
      <c r="J12" s="35">
        <f t="shared" si="4"/>
        <v>4.8885412592882288E-2</v>
      </c>
      <c r="T12">
        <f>-1/T11</f>
        <v>12.584183673469388</v>
      </c>
      <c r="U12">
        <f>-1/U11</f>
        <v>15.959885386819487</v>
      </c>
      <c r="V12">
        <f>-1/V11</f>
        <v>8.6315789473684212</v>
      </c>
      <c r="W12">
        <f>-1/W11</f>
        <v>17.528481012658222</v>
      </c>
    </row>
    <row r="13" spans="1:27" x14ac:dyDescent="0.25">
      <c r="A13">
        <v>20</v>
      </c>
      <c r="B13">
        <f t="shared" si="0"/>
        <v>0.05</v>
      </c>
      <c r="C13">
        <v>17.148</v>
      </c>
      <c r="D13">
        <f t="shared" si="1"/>
        <v>5.831583858175881E-2</v>
      </c>
      <c r="E13">
        <f>21.314-0.106</f>
        <v>21.207999999999998</v>
      </c>
      <c r="F13" s="37">
        <f t="shared" si="2"/>
        <v>4.7152018106374954E-2</v>
      </c>
      <c r="G13">
        <f>21.314-0.106</f>
        <v>21.207999999999998</v>
      </c>
      <c r="H13" s="36">
        <f t="shared" si="3"/>
        <v>4.7152018106374954E-2</v>
      </c>
      <c r="I13">
        <v>25.081</v>
      </c>
      <c r="J13" s="35">
        <f t="shared" si="4"/>
        <v>3.9870818547904786E-2</v>
      </c>
      <c r="X13">
        <f>5/100</f>
        <v>0.05</v>
      </c>
    </row>
    <row r="14" spans="1:27" x14ac:dyDescent="0.25">
      <c r="A14">
        <v>30</v>
      </c>
      <c r="B14">
        <f t="shared" si="0"/>
        <v>3.3333333333333333E-2</v>
      </c>
      <c r="C14">
        <v>21.324999999999999</v>
      </c>
      <c r="D14">
        <f t="shared" si="1"/>
        <v>4.6893317702227433E-2</v>
      </c>
      <c r="G14">
        <f>26.154-0.106</f>
        <v>26.047999999999998</v>
      </c>
      <c r="H14" s="36">
        <f t="shared" si="3"/>
        <v>3.8390663390663396E-2</v>
      </c>
      <c r="I14">
        <v>31.122</v>
      </c>
      <c r="J14" s="35">
        <f t="shared" si="4"/>
        <v>3.2131611078979501E-2</v>
      </c>
      <c r="X14">
        <f>X13*1000</f>
        <v>50</v>
      </c>
    </row>
    <row r="15" spans="1:27" x14ac:dyDescent="0.25">
      <c r="U15">
        <f>AVERAGE(T12:U12,W12)</f>
        <v>15.357516690982365</v>
      </c>
    </row>
    <row r="16" spans="1:27" x14ac:dyDescent="0.25">
      <c r="U16">
        <f>_xlfn.STDEV.P(T12:U12,W12)</f>
        <v>2.0629517814482785</v>
      </c>
    </row>
    <row r="17" spans="1:26" x14ac:dyDescent="0.25">
      <c r="W17">
        <f>U16/U15</f>
        <v>0.13432847399473144</v>
      </c>
    </row>
    <row r="22" spans="1:26" x14ac:dyDescent="0.25">
      <c r="A22" t="s">
        <v>174</v>
      </c>
      <c r="E22" t="s">
        <v>175</v>
      </c>
    </row>
    <row r="24" spans="1:26" x14ac:dyDescent="0.25">
      <c r="A24" t="s">
        <v>163</v>
      </c>
      <c r="B24" t="s">
        <v>179</v>
      </c>
      <c r="C24" t="s">
        <v>172</v>
      </c>
      <c r="D24" t="s">
        <v>178</v>
      </c>
      <c r="E24" t="s">
        <v>112</v>
      </c>
      <c r="F24" t="s">
        <v>178</v>
      </c>
      <c r="G24" t="s">
        <v>114</v>
      </c>
      <c r="H24" t="s">
        <v>178</v>
      </c>
      <c r="I24" t="s">
        <v>171</v>
      </c>
      <c r="J24" t="s">
        <v>178</v>
      </c>
    </row>
    <row r="25" spans="1:26" x14ac:dyDescent="0.25">
      <c r="A25">
        <v>0.05</v>
      </c>
      <c r="B25">
        <f t="shared" ref="B25:B33" si="5">1/A25</f>
        <v>20</v>
      </c>
      <c r="C25">
        <f>50.838/1000</f>
        <v>5.0838000000000001E-2</v>
      </c>
      <c r="D25">
        <f t="shared" ref="D25:D33" si="6">1/C25</f>
        <v>19.67032534718124</v>
      </c>
      <c r="E25">
        <f>55.367/1000</f>
        <v>5.5367E-2</v>
      </c>
      <c r="F25">
        <f t="shared" ref="F25:F33" si="7">1/E25</f>
        <v>18.061300052377771</v>
      </c>
      <c r="G25">
        <f>49.086/1000</f>
        <v>4.9085999999999998E-2</v>
      </c>
      <c r="H25">
        <f t="shared" ref="H25:H33" si="8">1/G25</f>
        <v>20.372407611131486</v>
      </c>
      <c r="I25">
        <f>54.867/1000</f>
        <v>5.4866999999999999E-2</v>
      </c>
      <c r="J25">
        <f t="shared" ref="J25:J33" si="9">1/I25</f>
        <v>18.225891701751507</v>
      </c>
    </row>
    <row r="26" spans="1:26" x14ac:dyDescent="0.25">
      <c r="A26">
        <v>0.1</v>
      </c>
      <c r="B26">
        <f t="shared" si="5"/>
        <v>10</v>
      </c>
      <c r="C26">
        <f>0.149</f>
        <v>0.14899999999999999</v>
      </c>
      <c r="D26">
        <f t="shared" si="6"/>
        <v>6.7114093959731544</v>
      </c>
      <c r="E26">
        <v>0.13500000000000001</v>
      </c>
      <c r="F26">
        <f t="shared" si="7"/>
        <v>7.4074074074074066</v>
      </c>
      <c r="G26">
        <v>0.124</v>
      </c>
      <c r="H26">
        <f t="shared" si="8"/>
        <v>8.064516129032258</v>
      </c>
      <c r="I26">
        <f>0.119</f>
        <v>0.11899999999999999</v>
      </c>
      <c r="J26">
        <f t="shared" si="9"/>
        <v>8.4033613445378155</v>
      </c>
      <c r="U26">
        <v>0.99019999999999997</v>
      </c>
      <c r="V26">
        <v>0.99780000000000002</v>
      </c>
      <c r="W26">
        <v>0.98519999999999996</v>
      </c>
      <c r="X26">
        <v>0.9627</v>
      </c>
    </row>
    <row r="27" spans="1:26" x14ac:dyDescent="0.25">
      <c r="A27">
        <v>0.2</v>
      </c>
      <c r="B27">
        <f t="shared" si="5"/>
        <v>5</v>
      </c>
      <c r="C27">
        <f>0.324</f>
        <v>0.32400000000000001</v>
      </c>
      <c r="D27">
        <f t="shared" si="6"/>
        <v>3.0864197530864197</v>
      </c>
      <c r="E27">
        <v>0.27800000000000002</v>
      </c>
      <c r="F27">
        <f t="shared" si="7"/>
        <v>3.5971223021582732</v>
      </c>
      <c r="G27">
        <v>0.24399999999999999</v>
      </c>
      <c r="H27">
        <f t="shared" si="8"/>
        <v>4.0983606557377046</v>
      </c>
      <c r="I27">
        <f>0.332</f>
        <v>0.33200000000000002</v>
      </c>
      <c r="J27">
        <f t="shared" si="9"/>
        <v>3.012048192771084</v>
      </c>
      <c r="U27">
        <f>-0.1302/0.7113</f>
        <v>-0.18304512863770561</v>
      </c>
      <c r="V27">
        <f>-0.0309/0.8075</f>
        <v>-3.8266253869969041E-2</v>
      </c>
      <c r="W27">
        <f>-0.1479/0.5888</f>
        <v>-0.25118885869565216</v>
      </c>
      <c r="X27">
        <f>-0.218/0.6073</f>
        <v>-0.35896591470442946</v>
      </c>
    </row>
    <row r="28" spans="1:26" x14ac:dyDescent="0.25">
      <c r="A28">
        <v>0.5</v>
      </c>
      <c r="B28">
        <f t="shared" si="5"/>
        <v>2</v>
      </c>
      <c r="C28">
        <f>0.581</f>
        <v>0.58099999999999996</v>
      </c>
      <c r="D28">
        <f t="shared" si="6"/>
        <v>1.7211703958691911</v>
      </c>
      <c r="E28">
        <v>0.59399999999999997</v>
      </c>
      <c r="F28">
        <f t="shared" si="7"/>
        <v>1.6835016835016836</v>
      </c>
      <c r="G28">
        <f>0.702-0.045</f>
        <v>0.65699999999999992</v>
      </c>
      <c r="H28">
        <f t="shared" si="8"/>
        <v>1.5220700152207003</v>
      </c>
      <c r="I28">
        <f>0.754-0.048</f>
        <v>0.70599999999999996</v>
      </c>
      <c r="J28">
        <f t="shared" si="9"/>
        <v>1.41643059490085</v>
      </c>
      <c r="U28">
        <f>-1/U27</f>
        <v>5.4631336405529956</v>
      </c>
      <c r="V28">
        <f>-1/V27</f>
        <v>26.132686084142396</v>
      </c>
      <c r="W28">
        <f>-1/W27</f>
        <v>3.9810682893847198</v>
      </c>
      <c r="X28">
        <f>-1/X27</f>
        <v>2.7857798165137613</v>
      </c>
      <c r="Y28">
        <f>AVERAGE(U28,W28:X28)</f>
        <v>4.0766605821504927</v>
      </c>
      <c r="Z28">
        <f>_xlfn.STDEV.P(U28,W28:X28)</f>
        <v>1.0951131721125262</v>
      </c>
    </row>
    <row r="29" spans="1:26" x14ac:dyDescent="0.25">
      <c r="A29">
        <v>1</v>
      </c>
      <c r="B29">
        <f t="shared" si="5"/>
        <v>1</v>
      </c>
      <c r="C29">
        <v>0.88300000000000001</v>
      </c>
      <c r="D29">
        <f t="shared" si="6"/>
        <v>1.1325028312570782</v>
      </c>
      <c r="E29">
        <f>0.941</f>
        <v>0.94099999999999995</v>
      </c>
      <c r="F29">
        <f t="shared" si="7"/>
        <v>1.0626992561105209</v>
      </c>
      <c r="G29">
        <f>1.105-0.045</f>
        <v>1.06</v>
      </c>
      <c r="H29">
        <f t="shared" si="8"/>
        <v>0.94339622641509424</v>
      </c>
      <c r="I29">
        <f>1.061-0.048</f>
        <v>1.0129999999999999</v>
      </c>
      <c r="J29">
        <f t="shared" si="9"/>
        <v>0.98716683119447202</v>
      </c>
    </row>
    <row r="30" spans="1:26" x14ac:dyDescent="0.25">
      <c r="A30">
        <v>2</v>
      </c>
      <c r="B30">
        <f t="shared" si="5"/>
        <v>0.5</v>
      </c>
      <c r="C30">
        <v>1.8680000000000001</v>
      </c>
      <c r="D30">
        <f t="shared" si="6"/>
        <v>0.53533190578158452</v>
      </c>
      <c r="E30">
        <v>2.12</v>
      </c>
      <c r="F30">
        <f t="shared" si="7"/>
        <v>0.47169811320754712</v>
      </c>
      <c r="G30">
        <f>2.43-0.045</f>
        <v>2.3850000000000002</v>
      </c>
      <c r="H30">
        <f t="shared" si="8"/>
        <v>0.41928721174004191</v>
      </c>
      <c r="I30">
        <f>2.341-0.048</f>
        <v>2.2930000000000001</v>
      </c>
      <c r="J30">
        <f t="shared" si="9"/>
        <v>0.43610989969472302</v>
      </c>
    </row>
    <row r="31" spans="1:26" x14ac:dyDescent="0.25">
      <c r="A31">
        <v>5</v>
      </c>
      <c r="B31">
        <f t="shared" si="5"/>
        <v>0.2</v>
      </c>
      <c r="C31">
        <v>4.4640000000000004</v>
      </c>
      <c r="D31">
        <f t="shared" si="6"/>
        <v>0.2240143369175627</v>
      </c>
      <c r="E31">
        <f>4.785</f>
        <v>4.7850000000000001</v>
      </c>
      <c r="F31">
        <f t="shared" si="7"/>
        <v>0.2089864158829676</v>
      </c>
      <c r="G31">
        <f>5.208-0.045</f>
        <v>5.1630000000000003</v>
      </c>
      <c r="H31">
        <f t="shared" si="8"/>
        <v>0.19368584156498159</v>
      </c>
      <c r="I31">
        <f>5.219-0.048</f>
        <v>5.1710000000000003</v>
      </c>
      <c r="J31">
        <f t="shared" si="9"/>
        <v>0.19338619222587505</v>
      </c>
    </row>
    <row r="32" spans="1:26" x14ac:dyDescent="0.25">
      <c r="A32">
        <v>10</v>
      </c>
      <c r="B32">
        <f t="shared" si="5"/>
        <v>0.1</v>
      </c>
      <c r="C32">
        <f>7.985</f>
        <v>7.9850000000000003</v>
      </c>
      <c r="D32">
        <f t="shared" si="6"/>
        <v>0.12523481527864747</v>
      </c>
      <c r="E32">
        <v>8.9510000000000005</v>
      </c>
      <c r="F32">
        <f t="shared" si="7"/>
        <v>0.11171936096525527</v>
      </c>
      <c r="G32">
        <f>8.851-0.045</f>
        <v>8.8060000000000009</v>
      </c>
      <c r="H32">
        <f t="shared" si="8"/>
        <v>0.11355893708834884</v>
      </c>
      <c r="I32">
        <f>8.432-0.048</f>
        <v>8.3840000000000003</v>
      </c>
      <c r="J32">
        <f t="shared" si="9"/>
        <v>0.11927480916030533</v>
      </c>
    </row>
    <row r="33" spans="1:10" x14ac:dyDescent="0.25">
      <c r="A33">
        <v>15</v>
      </c>
      <c r="B33">
        <f t="shared" si="5"/>
        <v>6.6666666666666666E-2</v>
      </c>
      <c r="C33">
        <v>11.616</v>
      </c>
      <c r="D33">
        <f t="shared" si="6"/>
        <v>8.6088154269972461E-2</v>
      </c>
      <c r="E33">
        <v>12.131</v>
      </c>
      <c r="F33">
        <f t="shared" si="7"/>
        <v>8.2433435001236496E-2</v>
      </c>
      <c r="G33">
        <f>11.717-0.045</f>
        <v>11.672000000000001</v>
      </c>
      <c r="H33">
        <f t="shared" si="8"/>
        <v>8.5675119945167924E-2</v>
      </c>
      <c r="I33">
        <f>10.943-0.048</f>
        <v>10.895</v>
      </c>
      <c r="J33">
        <f t="shared" si="9"/>
        <v>9.1785222579164757E-2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dobór pH</vt:lpstr>
      <vt:lpstr>czujnik</vt:lpstr>
      <vt:lpstr>temepratura</vt:lpstr>
      <vt:lpstr>Asweat sample</vt:lpstr>
      <vt:lpstr>stężenie TH i genipin</vt:lpstr>
      <vt:lpstr>Ag, Au, Graphite</vt:lpstr>
      <vt:lpstr>stabilność 7 dni</vt:lpstr>
      <vt:lpstr>krzywa kalibracyjna</vt:lpstr>
      <vt:lpstr>Km app</vt:lpstr>
      <vt:lpstr>Artificial sweat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Kornelia Bobrowska</dc:creator>
  <cp:lastModifiedBy>Dorota Chojnacka</cp:lastModifiedBy>
  <dcterms:created xsi:type="dcterms:W3CDTF">2025-04-30T10:04:50Z</dcterms:created>
  <dcterms:modified xsi:type="dcterms:W3CDTF">2026-03-25T13:49:13Z</dcterms:modified>
</cp:coreProperties>
</file>